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pivotTables/pivotTable9.xml" ContentType="application/vnd.openxmlformats-officedocument.spreadsheetml.pivotTable+xml"/>
  <Override PartName="/xl/pivotTables/pivotTable10.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hidePivotFieldList="1"/>
  <mc:AlternateContent xmlns:mc="http://schemas.openxmlformats.org/markup-compatibility/2006">
    <mc:Choice Requires="x15">
      <x15ac:absPath xmlns:x15ac="http://schemas.microsoft.com/office/spreadsheetml/2010/11/ac" url="C:\Users\Chris Caschera\Desktop\Teamwork Upload STAR 2019 V2\"/>
    </mc:Choice>
  </mc:AlternateContent>
  <xr:revisionPtr revIDLastSave="0" documentId="13_ncr:1_{26C058D7-6025-4EFD-97E5-5D7CC0E9E48A}" xr6:coauthVersionLast="45" xr6:coauthVersionMax="45" xr10:uidLastSave="{00000000-0000-0000-0000-000000000000}"/>
  <bookViews>
    <workbookView xWindow="-120" yWindow="-120" windowWidth="29040" windowHeight="15840" xr2:uid="{00000000-000D-0000-FFFF-FFFF00000000}"/>
  </bookViews>
  <sheets>
    <sheet name="Harney-Monroe All Projects" sheetId="1" r:id="rId1"/>
    <sheet name="Load Reductions " sheetId="4" r:id="rId2"/>
    <sheet name="Summary Info" sheetId="10" r:id="rId3"/>
    <sheet name="Progress Charts" sheetId="12" r:id="rId4"/>
    <sheet name="Project Type Check 022520" sheetId="13" r:id="rId5"/>
  </sheets>
  <externalReferences>
    <externalReference r:id="rId6"/>
    <externalReference r:id="rId7"/>
    <externalReference r:id="rId8"/>
    <externalReference r:id="rId9"/>
    <externalReference r:id="rId10"/>
  </externalReferences>
  <definedNames>
    <definedName name="_xlnm._FilterDatabase" localSheetId="0" hidden="1">'Harney-Monroe All Projects'!$A$1:$AA$112</definedName>
  </definedNames>
  <calcPr calcId="191029"/>
  <pivotCaches>
    <pivotCache cacheId="38" r:id="rId11"/>
    <pivotCache cacheId="39" r:id="rId12"/>
    <pivotCache cacheId="4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0" i="12" l="1"/>
  <c r="G7" i="12"/>
  <c r="G32" i="12"/>
  <c r="G31" i="12"/>
  <c r="G29" i="12"/>
  <c r="G28" i="12"/>
  <c r="G27" i="12"/>
  <c r="G26" i="12"/>
  <c r="G25" i="12"/>
  <c r="G9" i="12"/>
  <c r="G8" i="12"/>
  <c r="H3" i="13" l="1"/>
  <c r="H2" i="13"/>
  <c r="G6" i="12"/>
  <c r="G5" i="12"/>
  <c r="G4" i="12"/>
  <c r="G3" i="12"/>
  <c r="G2" i="12"/>
  <c r="Q24" i="4" l="1"/>
  <c r="B2" i="13" l="1" a="1"/>
  <c r="B2" i="13" s="1"/>
  <c r="O24" i="4" l="1"/>
  <c r="L21" i="4"/>
  <c r="L19" i="4"/>
  <c r="E23" i="4"/>
  <c r="E21" i="4"/>
  <c r="D24" i="4"/>
  <c r="F23" i="4"/>
  <c r="I19" i="4"/>
  <c r="I20" i="4"/>
  <c r="I18" i="4"/>
  <c r="P12" i="4"/>
  <c r="P19" i="4"/>
  <c r="M19" i="4"/>
  <c r="P21" i="4"/>
  <c r="P14" i="4"/>
  <c r="P18" i="4"/>
  <c r="I14" i="4"/>
  <c r="I21" i="4"/>
  <c r="M21" i="4"/>
  <c r="I12" i="4"/>
  <c r="I23" i="4"/>
  <c r="F21" i="4"/>
  <c r="G23" i="4" l="1"/>
  <c r="J23" i="4"/>
  <c r="Q19" i="4"/>
  <c r="Q21" i="4"/>
  <c r="N19" i="4"/>
  <c r="N21" i="4"/>
  <c r="E12" i="4" l="1"/>
  <c r="F12" i="4"/>
  <c r="P24" i="4" l="1"/>
  <c r="G12" i="4"/>
  <c r="J12" i="4"/>
  <c r="J14" i="4"/>
  <c r="J18" i="4"/>
  <c r="J19" i="4"/>
  <c r="J20" i="4"/>
  <c r="J21" i="4"/>
  <c r="Q12" i="4"/>
  <c r="Q14" i="4"/>
  <c r="Q18" i="4"/>
  <c r="I24" i="4"/>
  <c r="L12" i="4" l="1"/>
  <c r="M12" i="4"/>
  <c r="N12" i="4" l="1"/>
  <c r="E14" i="4"/>
  <c r="F14" i="4"/>
  <c r="G14" i="4" l="1"/>
  <c r="L14" i="4"/>
  <c r="E18" i="4"/>
  <c r="F18" i="4"/>
  <c r="M14" i="4"/>
  <c r="N14" i="4" l="1"/>
  <c r="G18" i="4"/>
  <c r="L18" i="4"/>
  <c r="E19" i="4"/>
  <c r="M18" i="4"/>
  <c r="F19" i="4"/>
  <c r="G19" i="4" l="1"/>
  <c r="N18" i="4"/>
  <c r="E20" i="4"/>
  <c r="E24" i="4" s="1"/>
  <c r="G24" i="4"/>
  <c r="G21" i="4" l="1"/>
  <c r="F20" i="4"/>
  <c r="G20" i="4" l="1"/>
  <c r="F24" i="4"/>
  <c r="H24" i="4"/>
  <c r="K24" i="4"/>
  <c r="L24" i="4"/>
  <c r="N24" i="4"/>
  <c r="M24" i="4" l="1"/>
  <c r="J2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tc={2870805C-0A3D-4AAF-AAF8-AB293BA6DE3D}</author>
    <author>tc={546F9D3A-D330-4536-8939-7E60338C7B64}</author>
    <author>tc={1A1AF019-4415-4986-A256-E0EE9B12DDBC}</author>
    <author>tc={F1472EB1-9897-4EE6-B0E1-4FCEBF45691E}</author>
    <author>tc={112C1D5E-09E6-4767-95EB-D788267E75A3}</author>
    <author>tc={5A8ED3D6-E8C4-487D-9812-B26DAB4BE808}</author>
    <author>tc={5875EA22-9368-42CD-9059-B17B4BEF6445}</author>
    <author>tc={FA6F05F9-8C88-426A-A327-E9B484644868}</author>
    <author>tc={1F938AB1-E6F7-495B-93E8-45DA91857420}</author>
    <author>tc={7B025D57-0A87-422E-92B6-8155E822090E}</author>
  </authors>
  <commentList>
    <comment ref="J5" authorId="0" shapeId="0" xr:uid="{2870805C-0A3D-4AAF-AAF8-AB293BA6DE3D}">
      <text>
        <t>[Threaded comment]
Your version of Excel allows you to read this threaded comment; however, any edits to it will get removed if the file is opened in a newer version of Excel. Learn more: https://go.microsoft.com/fwlink/?linkid=870924
Comment:
    These numbers were reduced in 2019 to reflect only the starting load from the contributing basin as there were two non-contributing basins included in the original starting load.</t>
      </text>
    </comment>
    <comment ref="J18" authorId="1" shapeId="0" xr:uid="{546F9D3A-D330-4536-8939-7E60338C7B64}">
      <text>
        <t>[Threaded comment]
Your version of Excel allows you to read this threaded comment; however, any edits to it will get removed if the file is opened in a newer version of Excel. Learn more: https://go.microsoft.com/fwlink/?linkid=870924
Comment:
    Stakeholder submitted reductions in 2019 of 36.46 TN and 5.45 TP
Reply:
    Spoke with MRH on 1/31/20 who agreed that the caluclations submitted take the delta and seem reasonable. Reduction amounts accepted.</t>
      </text>
    </comment>
    <comment ref="J19" authorId="2" shapeId="0" xr:uid="{1A1AF019-4415-4986-A256-E0EE9B12DDBC}">
      <text>
        <t>[Threaded comment]
Your version of Excel allows you to read this threaded comment; however, any edits to it will get removed if the file is opened in a newer version of Excel. Learn more: https://go.microsoft.com/fwlink/?linkid=870924
Comment:
    Stakeholder submitted reductions in 2019 of 1.84 TP and 5.74 TN.
Reply:
    Spoke with MRH on 1/31/20 who agreed that the caluclations submitted take the delta and seem reasonable. Reduction amounts accepted.</t>
      </text>
    </comment>
    <comment ref="O87" authorId="3" shapeId="0" xr:uid="{F1472EB1-9897-4EE6-B0E1-4FCEBF45691E}">
      <text>
        <t>[Threaded comment]
Your version of Excel allows you to read this threaded comment; however, any edits to it will get removed if the file is opened in a newer version of Excel. Learn more: https://go.microsoft.com/fwlink/?linkid=870924
Comment:
    $17/mile</t>
      </text>
    </comment>
    <comment ref="I90" authorId="4" shapeId="0" xr:uid="{112C1D5E-09E6-4767-95EB-D788267E75A3}">
      <text>
        <t xml:space="preserve">[Threaded comment]
Your version of Excel allows you to read this threaded comment; however, any edits to it will get removed if the file is opened in a newer version of Excel. Learn more: https://go.microsoft.com/fwlink/?linkid=870924
Comment:
    This was added in 2014, but received submission from stakeholder listed completion as 2004. Think it may be 2014. Need to confirm. </t>
      </text>
    </comment>
    <comment ref="D91" authorId="5" shapeId="0" xr:uid="{5A8ED3D6-E8C4-487D-9812-B26DAB4BE808}">
      <text>
        <t>[Threaded comment]
Your version of Excel allows you to read this threaded comment; however, any edits to it will get removed if the file is opened in a newer version of Excel. Learn more: https://go.microsoft.com/fwlink/?linkid=870924
Comment:
    Laura Savag
project missing from model</t>
      </text>
    </comment>
    <comment ref="J92" authorId="6" shapeId="0" xr:uid="{5875EA22-9368-42CD-9059-B17B4BEF6445}">
      <text>
        <t xml:space="preserve">[Threaded comment]
Your version of Excel allows you to read this threaded comment; however, any edits to it will get removed if the file is opened in a newer version of Excel. Learn more: https://go.microsoft.com/fwlink/?linkid=870924
Comment:
0.376MGDx35,433lbs/MGD Removed x 0.75
</t>
      </text>
    </comment>
    <comment ref="K92" authorId="7" shapeId="0" xr:uid="{FA6F05F9-8C88-426A-A327-E9B484644868}">
      <text>
        <t>[Threaded comment]
Your version of Excel allows you to read this threaded comment; however, any edits to it will get removed if the file is opened in a newer version of Excel. Learn more: https://go.microsoft.com/fwlink/?linkid=870924
Comment:
0.376MGDx2,658lbs/MGD Removed x 0.75</t>
      </text>
    </comment>
    <comment ref="J101" authorId="8" shapeId="0" xr:uid="{1F938AB1-E6F7-495B-93E8-45DA91857420}">
      <text>
        <t>[Threaded comment]
Your version of Excel allows you to read this threaded comment; however, any edits to it will get removed if the file is opened in a newer version of Excel. Learn more: https://go.microsoft.com/fwlink/?linkid=870924
Comment:
    Stakeholder submitted reductions of TN = 144 and TP = 34 using Sansalone Lane Mile Method. Recalcualted using weight provided and MS4 tool.</t>
      </text>
    </comment>
    <comment ref="J109" authorId="9" shapeId="0" xr:uid="{7B025D57-0A87-422E-92B6-8155E822090E}">
      <text>
        <t xml:space="preserve">[Threaded comment]
Your version of Excel allows you to read this threaded comment; however, any edits to it will get removed if the file is opened in a newer version of Excel. Learn more: https://go.microsoft.com/fwlink/?linkid=870924
Comment:
    Stakeholder submitted new reductions as 40,350 TN and 16,337 TP. Need weight to verify. New reductions left in for this year.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tc={7ADA5F9A-6832-4022-A99A-BAF6D78C3969}</author>
    <author>tc={CBAA515F-955E-469C-A66B-0079B6CD3543}</author>
    <author>tc={6193CB00-0D06-45C0-A70F-716CFC1B281C}</author>
    <author>tc={B0971FA3-4ECE-48BA-9E03-75CD6CAFDBAC}</author>
  </authors>
  <commentList>
    <comment ref="F2" authorId="0" shapeId="0" xr:uid="{7ADA5F9A-6832-4022-A99A-BAF6D78C3969}">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 authorId="1" shapeId="0" xr:uid="{CBAA515F-955E-469C-A66B-0079B6CD3543}">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 ref="F25" authorId="2" shapeId="0" xr:uid="{6193CB00-0D06-45C0-A70F-716CFC1B281C}">
      <text>
        <t>[Threaded comment]
Your version of Excel allows you to read this threaded comment; however, any edits to it will get removed if the file is opened in a newer version of Excel. Learn more: https://go.microsoft.com/fwlink/?linkid=870924
Comment:
    Start with Year Adopted</t>
      </text>
    </comment>
    <comment ref="G25" authorId="3" shapeId="0" xr:uid="{B0971FA3-4ECE-48BA-9E03-75CD6CAFDBAC}">
      <text>
        <t>[Threaded comment]
Your version of Excel allows you to read this threaded comment; however, any edits to it will get removed if the file is opened in a newer version of Excel. Learn more: https://go.microsoft.com/fwlink/?linkid=870924
Comment:
    Insert pivot table to the left. First reduction should be the sum of the years before the adoption, adopted year, and N/A (ongoing) activities.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<sst xmlns="http://schemas.openxmlformats.org/spreadsheetml/2006/main" count="2553" uniqueCount="487">
  <si>
    <t>Project Type</t>
  </si>
  <si>
    <t>-</t>
  </si>
  <si>
    <t>Non-structural</t>
  </si>
  <si>
    <t>Underway</t>
  </si>
  <si>
    <t>Education Efforts</t>
  </si>
  <si>
    <t>Completed</t>
  </si>
  <si>
    <t>McGarity Kirkhill Regional Treatment Facility</t>
  </si>
  <si>
    <t>Structural</t>
  </si>
  <si>
    <t>DRA GC-5</t>
  </si>
  <si>
    <t>Swales</t>
  </si>
  <si>
    <t>Lake Gleason Control Structure</t>
  </si>
  <si>
    <t>Catch Basin Maintenance</t>
  </si>
  <si>
    <t>79070-3547-02 (Pond pond 2)</t>
  </si>
  <si>
    <t>FDOT-10</t>
  </si>
  <si>
    <t>FDOT-11</t>
  </si>
  <si>
    <t>FDOT-12</t>
  </si>
  <si>
    <t>FDOT-13</t>
  </si>
  <si>
    <t>FDOT-14</t>
  </si>
  <si>
    <t>FDOT-15</t>
  </si>
  <si>
    <t>FDOT-16</t>
  </si>
  <si>
    <t>FDOT-17</t>
  </si>
  <si>
    <t>FDOT-18</t>
  </si>
  <si>
    <t>FDOT-19</t>
  </si>
  <si>
    <t>79070-3547-03 (Pond pond 3)</t>
  </si>
  <si>
    <t>FDOT-20</t>
  </si>
  <si>
    <t>FDOT-21</t>
  </si>
  <si>
    <t>77160-3404-06 (Pond pond 4-11)</t>
  </si>
  <si>
    <t>FDOT-22</t>
  </si>
  <si>
    <t>77160-3404-05 (Pond pond 4-1)</t>
  </si>
  <si>
    <t>FDOT-23</t>
  </si>
  <si>
    <t>FDOT-24</t>
  </si>
  <si>
    <t>FDOT-25</t>
  </si>
  <si>
    <t>FDOT-26</t>
  </si>
  <si>
    <t>FDOT-27</t>
  </si>
  <si>
    <t>FDOT-28</t>
  </si>
  <si>
    <t>FDOT-29</t>
  </si>
  <si>
    <t>79070-3547-04 (Pond pond 4)</t>
  </si>
  <si>
    <t>FDOT-30</t>
  </si>
  <si>
    <t>FDOT-31</t>
  </si>
  <si>
    <t>FDOT-32</t>
  </si>
  <si>
    <t>FDOT-33</t>
  </si>
  <si>
    <t>Street Sweeping</t>
  </si>
  <si>
    <t>FDOT-34</t>
  </si>
  <si>
    <t>FDOT-35</t>
  </si>
  <si>
    <t>FDOT-36</t>
  </si>
  <si>
    <t>FDOT-37</t>
  </si>
  <si>
    <t>FDOT-38</t>
  </si>
  <si>
    <t>SR 415 – Exfiltration Trench</t>
  </si>
  <si>
    <t>FDOT-39</t>
  </si>
  <si>
    <t>79070-3547-06 (Pond pond 6)</t>
  </si>
  <si>
    <t>FDOT-40</t>
  </si>
  <si>
    <t>FDOT-41</t>
  </si>
  <si>
    <t>79070-3546-03 (Pond pond 9)</t>
  </si>
  <si>
    <t>79070-3546-02 (Pond pond 8)</t>
  </si>
  <si>
    <t>79070-3547-05 (Pond pond 5)</t>
  </si>
  <si>
    <t>79070-3546-01 (Pond pond 7)</t>
  </si>
  <si>
    <t>79070-3546-04 (Pond pond 10)</t>
  </si>
  <si>
    <t>Cloud Branch Phase I</t>
  </si>
  <si>
    <t>Cloud Branch Phase II</t>
  </si>
  <si>
    <t>Sanford Avenue Baffle Box</t>
  </si>
  <si>
    <t>Seminole County</t>
  </si>
  <si>
    <t>Volusia County</t>
  </si>
  <si>
    <t>Education and Outreach</t>
  </si>
  <si>
    <t>Lemon Bluff Road Ramp</t>
  </si>
  <si>
    <t>Row Labels</t>
  </si>
  <si>
    <t>Grand Total</t>
  </si>
  <si>
    <t>Attachments</t>
  </si>
  <si>
    <t>BMAP</t>
  </si>
  <si>
    <t>Latitude</t>
  </si>
  <si>
    <t>Longitude</t>
  </si>
  <si>
    <t>Partners</t>
  </si>
  <si>
    <t>Start Date</t>
  </si>
  <si>
    <t>City of DeBary</t>
  </si>
  <si>
    <t>City of DeLand</t>
  </si>
  <si>
    <t>City of Deltona</t>
  </si>
  <si>
    <t>City of Lake Helen</t>
  </si>
  <si>
    <t>City of Lake Mary</t>
  </si>
  <si>
    <t>City of Sanford</t>
  </si>
  <si>
    <t>Lemon Bluff Road</t>
  </si>
  <si>
    <t>Reductions Changes</t>
  </si>
  <si>
    <t>Reductions Area</t>
  </si>
  <si>
    <t>Mill Creek Wet Detention Pond</t>
  </si>
  <si>
    <t>Midway RSF</t>
  </si>
  <si>
    <t>Elder RSF</t>
  </si>
  <si>
    <t>Lockhart RSF</t>
  </si>
  <si>
    <t>DeBary Avenue Expansion</t>
  </si>
  <si>
    <t>Harney-Monroe</t>
  </si>
  <si>
    <t>FDOT-01</t>
  </si>
  <si>
    <t>DEL-08</t>
  </si>
  <si>
    <t>DB-01</t>
  </si>
  <si>
    <t>DB-02</t>
  </si>
  <si>
    <t>DL-01</t>
  </si>
  <si>
    <t>DEL-01</t>
  </si>
  <si>
    <t>DEL-02</t>
  </si>
  <si>
    <t>DEL-03</t>
  </si>
  <si>
    <t>DEL-04</t>
  </si>
  <si>
    <t>DEL-05</t>
  </si>
  <si>
    <t>DEL-06</t>
  </si>
  <si>
    <t>DEL-07</t>
  </si>
  <si>
    <t>FDOT-02</t>
  </si>
  <si>
    <t>FDOT-03</t>
  </si>
  <si>
    <t>FDOT-04</t>
  </si>
  <si>
    <t>FDOT-05</t>
  </si>
  <si>
    <t>FDOT-06</t>
  </si>
  <si>
    <t>FDOT-07</t>
  </si>
  <si>
    <t>FDOT-08</t>
  </si>
  <si>
    <t>FDOT-09</t>
  </si>
  <si>
    <t>LH-01</t>
  </si>
  <si>
    <t>LM-01</t>
  </si>
  <si>
    <t>LM-02</t>
  </si>
  <si>
    <t>OC-01</t>
  </si>
  <si>
    <t>S-01</t>
  </si>
  <si>
    <t>S-02</t>
  </si>
  <si>
    <t>S-03</t>
  </si>
  <si>
    <t>S-04</t>
  </si>
  <si>
    <t>S-05</t>
  </si>
  <si>
    <t>S-06</t>
  </si>
  <si>
    <t>S-07</t>
  </si>
  <si>
    <t>SC-01</t>
  </si>
  <si>
    <t>SC-02</t>
  </si>
  <si>
    <t>SC-03</t>
  </si>
  <si>
    <t>SC-04</t>
  </si>
  <si>
    <t>SC-05</t>
  </si>
  <si>
    <t>SC-06</t>
  </si>
  <si>
    <t>T-01</t>
  </si>
  <si>
    <t>VC-01</t>
  </si>
  <si>
    <t>VC-02</t>
  </si>
  <si>
    <t>VC-03</t>
  </si>
  <si>
    <t>VC-04</t>
  </si>
  <si>
    <t>VC-05</t>
  </si>
  <si>
    <t>VC-06</t>
  </si>
  <si>
    <t xml:space="preserve">Phase I TN Required Reduction (lbs/yr) </t>
  </si>
  <si>
    <t>Phase I TN Required Reductions Achieved (%)</t>
  </si>
  <si>
    <t xml:space="preserve">Total TN Required Reductions Achieved (%) </t>
  </si>
  <si>
    <t xml:space="preserve">Phase I TP Required Reduction (lbs/yr) </t>
  </si>
  <si>
    <t>Phase I TP Required Reductions Achieved (%)</t>
  </si>
  <si>
    <t>Total TP Required Reductions Achieved (%)</t>
  </si>
  <si>
    <t>City of Orange City</t>
  </si>
  <si>
    <t>79110-xxx4-05 (Pond 14)</t>
  </si>
  <si>
    <t>SR 415 - missing from model</t>
  </si>
  <si>
    <t>SR 44 - missing from model</t>
  </si>
  <si>
    <t>SR 46 - missing from model</t>
  </si>
  <si>
    <t>77160-3404-02 (Pond 1-NW)</t>
  </si>
  <si>
    <t>77160-3404-07 (Pond 5)</t>
  </si>
  <si>
    <t>77160-3439-01 (Pond 1)</t>
  </si>
  <si>
    <t>N/A</t>
  </si>
  <si>
    <t>Not Started (funded for 2018)</t>
  </si>
  <si>
    <t>FDOT-42</t>
  </si>
  <si>
    <t>FDOT-43</t>
  </si>
  <si>
    <t>Fertilizer Cessation</t>
  </si>
  <si>
    <t>Elimination of fertilizer use along state highway system.  Removal of TN &amp; TP loading.</t>
  </si>
  <si>
    <t>Noncontributing Area in DeBary</t>
  </si>
  <si>
    <t>Noncontributing Area in Volusia County</t>
  </si>
  <si>
    <t>VC-07</t>
  </si>
  <si>
    <t>Roadside Ditch Cleaning</t>
  </si>
  <si>
    <t>FDACS-01</t>
  </si>
  <si>
    <t>FDACS-02</t>
  </si>
  <si>
    <t>FDACS-03</t>
  </si>
  <si>
    <t xml:space="preserve">Notes: </t>
  </si>
  <si>
    <r>
      <rPr>
        <vertAlign val="superscript"/>
        <sz val="10"/>
        <color theme="1"/>
        <rFont val="Calibri"/>
        <family val="2"/>
        <scheme val="minor"/>
      </rPr>
      <t xml:space="preserve">1 </t>
    </r>
    <r>
      <rPr>
        <sz val="10"/>
        <color theme="1"/>
        <rFont val="Calibri"/>
        <family val="2"/>
        <scheme val="minor"/>
      </rPr>
      <t>BMAP  Tables 11,15,18</t>
    </r>
  </si>
  <si>
    <r>
      <rPr>
        <vertAlign val="superscript"/>
        <sz val="10"/>
        <color theme="1"/>
        <rFont val="Calibri"/>
        <family val="2"/>
        <scheme val="minor"/>
      </rPr>
      <t>2</t>
    </r>
    <r>
      <rPr>
        <sz val="10"/>
        <color theme="1"/>
        <rFont val="Calibri"/>
        <family val="2"/>
        <scheme val="minor"/>
      </rPr>
      <t>BMAP Tables 15, 18</t>
    </r>
  </si>
  <si>
    <r>
      <rPr>
        <vertAlign val="superscript"/>
        <sz val="10"/>
        <color theme="1"/>
        <rFont val="Calibri"/>
        <family val="2"/>
        <scheme val="minor"/>
      </rPr>
      <t>3</t>
    </r>
    <r>
      <rPr>
        <sz val="10"/>
        <color theme="1"/>
        <rFont val="Calibri"/>
        <family val="2"/>
        <scheme val="minor"/>
      </rPr>
      <t>BMAP  Tables 12,16,18</t>
    </r>
  </si>
  <si>
    <r>
      <rPr>
        <vertAlign val="superscript"/>
        <sz val="10"/>
        <color theme="1"/>
        <rFont val="Calibri"/>
        <family val="2"/>
        <scheme val="minor"/>
      </rPr>
      <t>4</t>
    </r>
    <r>
      <rPr>
        <sz val="10"/>
        <color theme="1"/>
        <rFont val="Calibri"/>
        <family val="2"/>
        <scheme val="minor"/>
      </rPr>
      <t>BMAP  Tables 16, 18</t>
    </r>
  </si>
  <si>
    <t>Year Added</t>
  </si>
  <si>
    <t>Structural, Non-structural, or Trade</t>
  </si>
  <si>
    <t>Original Project Status</t>
  </si>
  <si>
    <t>Column Labels</t>
  </si>
  <si>
    <t>Catch Basin Inserts/Inlet Filter Cleanout</t>
  </si>
  <si>
    <t>On-line Retention BMPs</t>
  </si>
  <si>
    <t>WWTF Disposal Site</t>
  </si>
  <si>
    <t>Baffle Boxes- First Generation (hydrodynamic separator)</t>
  </si>
  <si>
    <t>Land Use Change</t>
  </si>
  <si>
    <t>Non-contributing Basin</t>
  </si>
  <si>
    <t>Agricultural BMPs</t>
  </si>
  <si>
    <t>Lake Winnemissett Non-contributing Basin</t>
  </si>
  <si>
    <t>Wet Detention Pond</t>
  </si>
  <si>
    <t>Bioswales</t>
  </si>
  <si>
    <t>TBD</t>
  </si>
  <si>
    <t>FDACS</t>
  </si>
  <si>
    <t>DB-03</t>
  </si>
  <si>
    <t>Citywide Fertilizer Ordinance</t>
  </si>
  <si>
    <t>Copy of the revised ordinance</t>
  </si>
  <si>
    <t>DB-04</t>
  </si>
  <si>
    <t>City website link, PDFs</t>
  </si>
  <si>
    <t>Regulations, Ordinances, and Guidelines</t>
  </si>
  <si>
    <t>Brickell Stormwater Management System</t>
  </si>
  <si>
    <t>Natural Wetlands as Filters</t>
  </si>
  <si>
    <t>NF004</t>
  </si>
  <si>
    <t>Planned</t>
  </si>
  <si>
    <t>DEL-09</t>
  </si>
  <si>
    <t>Previously Provided</t>
  </si>
  <si>
    <t>KMZ</t>
  </si>
  <si>
    <t>HUD</t>
  </si>
  <si>
    <t>S-08</t>
  </si>
  <si>
    <t>WWTF Nutrient Reduction</t>
  </si>
  <si>
    <t>Planned &amp; Funded</t>
  </si>
  <si>
    <t>Seminole County Fertilizer Ordinance</t>
  </si>
  <si>
    <t>NF034</t>
  </si>
  <si>
    <t>Midway Phase II, Ditch Diversion</t>
  </si>
  <si>
    <t>SC-07</t>
  </si>
  <si>
    <t>SC-08</t>
  </si>
  <si>
    <t>Adopted ordinance, leaching calculations</t>
  </si>
  <si>
    <t>Turnpike Enterprise</t>
  </si>
  <si>
    <t>TP-02</t>
  </si>
  <si>
    <t>Attached</t>
  </si>
  <si>
    <t>77160 3436 (pond A, A-1)</t>
  </si>
  <si>
    <t>FM 242702 79110-3403-04 &amp; 05 (Pond QQ3 &amp; QQ-5)</t>
  </si>
  <si>
    <t>FM 242702 79110-3403-06 (RR-3)</t>
  </si>
  <si>
    <t>FM 242702 79110-3403-07 (Pond SS-2)</t>
  </si>
  <si>
    <t>FM  242702 Roadside Swale</t>
  </si>
  <si>
    <t>SR 415 – Pond A (built under 407355-1)</t>
  </si>
  <si>
    <t>FM: 407355-3 SR 415 – Pond B</t>
  </si>
  <si>
    <t>FM: 407355-3 SR 415 – Pond H (in database as Pond 1)</t>
  </si>
  <si>
    <t>FM: 240216-2 SR 46 – Pond 1 (possibly modified and built by others)</t>
  </si>
  <si>
    <t>Provided during BMAP Development</t>
  </si>
  <si>
    <t>City of Lake Mary Stormwater Fund</t>
  </si>
  <si>
    <t>10/2012</t>
  </si>
  <si>
    <t>Gemini Springs Baffle Boxes</t>
  </si>
  <si>
    <t>NS034</t>
  </si>
  <si>
    <t>VC-08</t>
  </si>
  <si>
    <t>(Multiple Items)</t>
  </si>
  <si>
    <t>FDACS-03b</t>
  </si>
  <si>
    <t>FDACS-03c</t>
  </si>
  <si>
    <t>FDACS-03d</t>
  </si>
  <si>
    <t>Count of Year Added</t>
  </si>
  <si>
    <t>Non-contributing Basin, not included in the TMDL model.</t>
  </si>
  <si>
    <t>Retrofit project to treat surface water runoff from a residential area in the city.</t>
  </si>
  <si>
    <t>Water quality treatment for a residential area.</t>
  </si>
  <si>
    <t>Proposed control structure to increase storage in Lake Gleason.</t>
  </si>
  <si>
    <t>FYN, irrigation ordinance, pet waste ordinance, PSAs, pamphlets, website, illicit discharge program.</t>
  </si>
  <si>
    <t>Catch basin cleanout throughout the city.</t>
  </si>
  <si>
    <t>Swales throughout the city.</t>
  </si>
  <si>
    <t>FYN Program, irrigation ordinance, fertilizer ordinance, pamphlets, website, illicit discharge program.</t>
  </si>
  <si>
    <t>Reductions from non-contributing area.</t>
  </si>
  <si>
    <t>Wet detention pond.</t>
  </si>
  <si>
    <t>79110-xxx3-08 (Pond 4)</t>
  </si>
  <si>
    <t>FM 408463-1 wet detention pond.</t>
  </si>
  <si>
    <t>79110-xxx (Pond 5)</t>
  </si>
  <si>
    <t>79110-xxx (Pond 6)</t>
  </si>
  <si>
    <t>79110-xxx (Pond 7)</t>
  </si>
  <si>
    <t>Grass swales without swale blocks or raised culverts.</t>
  </si>
  <si>
    <t>On-line retention BMPs.</t>
  </si>
  <si>
    <t>Education efforts.</t>
  </si>
  <si>
    <t>Street sweeping.</t>
  </si>
  <si>
    <t>Noncontributing area in DeBary.</t>
  </si>
  <si>
    <t>Noncontributing area in Volusia County.</t>
  </si>
  <si>
    <t>Exfilitration trench.</t>
  </si>
  <si>
    <t>Basin B Pond B.</t>
  </si>
  <si>
    <t>Basin E Pond E.</t>
  </si>
  <si>
    <t>Irrigation ordinance, pet waste ordinance, pamphlets, website.</t>
  </si>
  <si>
    <t>FYN, landscape ordinance, irrigation ordinance, pet waste ordinance, PSAs, pamphlets, website, illicit discharge program.</t>
  </si>
  <si>
    <t>Sweeping of 53.58 curb miles per year.</t>
  </si>
  <si>
    <t>Irrigation ordinance, pamphlets, website, illicit discharge program.</t>
  </si>
  <si>
    <t>Drainage/water quality improvements.</t>
  </si>
  <si>
    <t>Street sweeping throughout the city.</t>
  </si>
  <si>
    <t>FYN, landscaping ordinance, irrigation ordinance, PSAs, pamphlets, website, illicit discharge program.</t>
  </si>
  <si>
    <t>2nd generation baffle box.</t>
  </si>
  <si>
    <t>1st generation baffle boxes.</t>
  </si>
  <si>
    <t>City/ Stormwater Utility</t>
  </si>
  <si>
    <t>City/ Storwmater Utility/ Community Redevelopment Agency (CRA)</t>
  </si>
  <si>
    <t>City/ DEP SRF</t>
  </si>
  <si>
    <t>DEP</t>
  </si>
  <si>
    <t>Baffle Boxes on 2nd St.</t>
  </si>
  <si>
    <t>WWTP Reclaimed Water Nutrient Reduction</t>
  </si>
  <si>
    <t>Upgrade to WWTP treatment process that will reduce the concentration of TN from 20mg/L to 4 mg/L and TP from 4mg/L to 1 mg/L in the reclaimed water; 0.376 MGD to Lake Monroe directly.</t>
  </si>
  <si>
    <t>RSF to collect and treat stormwater runoff.</t>
  </si>
  <si>
    <t>Club II RSF</t>
  </si>
  <si>
    <t>Street sweeping throughout the county.</t>
  </si>
  <si>
    <t>FYN, landscaping ordinance, irrigation ordinance, pet waste ordinance, PSAs, pamphlets, website, illicit discharge program.</t>
  </si>
  <si>
    <t>Reduction of Nitrogen and Phosporus sources, through public education and restrtictions on usage.</t>
  </si>
  <si>
    <t>Altamonte/ Casselberry/ Lake Mary/ Longwood/ Oviedo</t>
  </si>
  <si>
    <t>Addition of a ditch bottom inlet and regrading to route untreated runoff into Pond 4 of the existing RSF.</t>
  </si>
  <si>
    <t>SR 417 MM 51-55
16 CM Mainline per cycle
6 CM Ramps per cycle
24 Total Curb Miles per month or 288 Curb Miles per year Aprox 93,312 lbs or 42,325.61 Kg of dry material.</t>
  </si>
  <si>
    <t>No fertilizer on right-of-ways, illicit discharge training.</t>
  </si>
  <si>
    <t>DeBary Avenue - Doyle Road expansion.</t>
  </si>
  <si>
    <t>Installation of two baffle boxes.</t>
  </si>
  <si>
    <t>Not provided</t>
  </si>
  <si>
    <t>Location</t>
  </si>
  <si>
    <r>
      <t>TN Starting Load</t>
    </r>
    <r>
      <rPr>
        <b/>
        <vertAlign val="superscript"/>
        <sz val="10"/>
        <color theme="1"/>
        <rFont val="Times New Roman"/>
        <family val="1"/>
      </rPr>
      <t>1</t>
    </r>
    <r>
      <rPr>
        <b/>
        <sz val="10"/>
        <color theme="1"/>
        <rFont val="Times New Roman"/>
        <family val="1"/>
      </rPr>
      <t xml:space="preserve"> (lbs/yr)</t>
    </r>
  </si>
  <si>
    <r>
      <t>Total TN Required Reduction</t>
    </r>
    <r>
      <rPr>
        <b/>
        <vertAlign val="superscript"/>
        <sz val="10"/>
        <color theme="1"/>
        <rFont val="Times New Roman"/>
        <family val="1"/>
      </rPr>
      <t xml:space="preserve">2 </t>
    </r>
    <r>
      <rPr>
        <b/>
        <sz val="10"/>
        <color theme="1"/>
        <rFont val="Times New Roman"/>
        <family val="1"/>
      </rPr>
      <t>(lbs/yr)</t>
    </r>
  </si>
  <si>
    <r>
      <t>TP Starting Load</t>
    </r>
    <r>
      <rPr>
        <b/>
        <vertAlign val="superscript"/>
        <sz val="10"/>
        <color theme="1"/>
        <rFont val="Times New Roman"/>
        <family val="1"/>
      </rPr>
      <t>3</t>
    </r>
    <r>
      <rPr>
        <b/>
        <sz val="10"/>
        <color theme="1"/>
        <rFont val="Times New Roman"/>
        <family val="1"/>
      </rPr>
      <t xml:space="preserve"> (lbs/yr)</t>
    </r>
  </si>
  <si>
    <r>
      <t>Total TP Required Reduction</t>
    </r>
    <r>
      <rPr>
        <b/>
        <vertAlign val="superscript"/>
        <sz val="10"/>
        <color theme="1"/>
        <rFont val="Times New Roman"/>
        <family val="1"/>
      </rPr>
      <t xml:space="preserve">4 </t>
    </r>
    <r>
      <rPr>
        <b/>
        <sz val="10"/>
        <color theme="1"/>
        <rFont val="Times New Roman"/>
        <family val="1"/>
      </rPr>
      <t>(lbs/yr)</t>
    </r>
  </si>
  <si>
    <t>Phase I TN Reductions Still Needed (lbs/yr)</t>
  </si>
  <si>
    <t>TN Reductions Still Needed (lbs/yr)</t>
  </si>
  <si>
    <t>TP Reductions Still Needed (lbs/yr)</t>
  </si>
  <si>
    <t>Entity-specific Load Reductions</t>
  </si>
  <si>
    <r>
      <rPr>
        <vertAlign val="superscript"/>
        <sz val="10"/>
        <color theme="1"/>
        <rFont val="Calibri"/>
        <family val="2"/>
        <scheme val="minor"/>
      </rPr>
      <t>5</t>
    </r>
    <r>
      <rPr>
        <sz val="10"/>
        <color theme="1"/>
        <rFont val="Calibri"/>
        <family val="2"/>
        <scheme val="minor"/>
      </rPr>
      <t xml:space="preserve"> The reductions below are dependent on the accuracy of the Non-contributing basin estimates for City of DeBary which were determined in 2012. </t>
    </r>
  </si>
  <si>
    <t>ProjID</t>
  </si>
  <si>
    <t>79110-xxx4-01 (Pond 1 and 1A)</t>
  </si>
  <si>
    <t>79110-xxx4-03 (Pond 2 and 2A)</t>
  </si>
  <si>
    <t>FDOT District 5</t>
  </si>
  <si>
    <t>Florida Legislature</t>
  </si>
  <si>
    <t>LH-02</t>
  </si>
  <si>
    <t>LH-03</t>
  </si>
  <si>
    <t>LH-04</t>
  </si>
  <si>
    <t>Main Street Exfiltration</t>
  </si>
  <si>
    <t>Connecticut Avenue Exfiltration</t>
  </si>
  <si>
    <t>Tangerine Avenue Bioswale</t>
  </si>
  <si>
    <t>Exfiltration Trench</t>
  </si>
  <si>
    <t>Baffle Boxes- Second Generation</t>
  </si>
  <si>
    <t>BMP Enrollment</t>
  </si>
  <si>
    <t>Ongoing roadside ditch cleaning throughout county.</t>
  </si>
  <si>
    <t>BMP Cleanout</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</si>
  <si>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</si>
  <si>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</si>
  <si>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</si>
  <si>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</si>
  <si>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</si>
  <si>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</si>
  <si>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</si>
  <si>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</si>
  <si>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</si>
  <si>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</si>
  <si>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</si>
  <si>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</si>
  <si>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</si>
  <si>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</si>
  <si>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</si>
  <si>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</si>
  <si>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100% On-site Retention</t>
  </si>
  <si>
    <t>Use Past Designation</t>
  </si>
  <si>
    <t>Alum Injection Systems</t>
  </si>
  <si>
    <t>Aquatic Vegetation Harvesting</t>
  </si>
  <si>
    <t>Baffle Boxes- Second Generation with Media</t>
  </si>
  <si>
    <t>Biological/ Bacteria Treatment</t>
  </si>
  <si>
    <t>Biosorption Activated Media (BAM)</t>
  </si>
  <si>
    <t>BMP Treatment Train</t>
  </si>
  <si>
    <t>Closed Basin</t>
  </si>
  <si>
    <t>Control Structure</t>
  </si>
  <si>
    <t>Creating/ Enhancing Living Shoreline</t>
  </si>
  <si>
    <t>Creating/ Enhancing Oyster Reefs</t>
  </si>
  <si>
    <t>Credit Trade</t>
  </si>
  <si>
    <t>Trade</t>
  </si>
  <si>
    <t>Dairy Remediation</t>
  </si>
  <si>
    <t>Decommission/ Abandonment</t>
  </si>
  <si>
    <t>Deep Injection Well</t>
  </si>
  <si>
    <t>Denitrification Walls</t>
  </si>
  <si>
    <t>Dispersed Water Management (DWM)</t>
  </si>
  <si>
    <t>Dry Detention Pond</t>
  </si>
  <si>
    <t>Enhanced Public Education</t>
  </si>
  <si>
    <t>Exotic Vegetation Removal</t>
  </si>
  <si>
    <t>Fertilizer Reduction</t>
  </si>
  <si>
    <t>Filter Marsh</t>
  </si>
  <si>
    <t>Fish Harvesting</t>
  </si>
  <si>
    <t>Floating Islands/ Managed Aquatic Plant Systems (MAPS)</t>
  </si>
  <si>
    <t>Floodplain Restoration</t>
  </si>
  <si>
    <t>Golf Course or Sports Field BMPs</t>
  </si>
  <si>
    <t>Grass swales with swale blocks or raised culverts</t>
  </si>
  <si>
    <t>Grass swales without swale blocks or raised culverts</t>
  </si>
  <si>
    <t>Hybrid wetland treatment technology (HWTT)</t>
  </si>
  <si>
    <t>Hydrodynamic Separators</t>
  </si>
  <si>
    <t>Hydrologic Restoration</t>
  </si>
  <si>
    <t>Impoundment</t>
  </si>
  <si>
    <t>Industrial Facility Upgrades</t>
  </si>
  <si>
    <t>Land Acquisition</t>
  </si>
  <si>
    <t>Land Preservation</t>
  </si>
  <si>
    <t>LID- Green Roofs</t>
  </si>
  <si>
    <t>LID- Other</t>
  </si>
  <si>
    <t>LID- Rain Gardens</t>
  </si>
  <si>
    <t>LID- Tree Boxes/Tree Wells</t>
  </si>
  <si>
    <t>Macroalgal Harvesting</t>
  </si>
  <si>
    <t>Monitoring/Data Collection</t>
  </si>
  <si>
    <t>Muck Removal/Restoration Dredging</t>
  </si>
  <si>
    <t>Off-line Retention BMPs</t>
  </si>
  <si>
    <t>Onsite Sewage Treatment and Disposal System (OSTDS) Enhancement</t>
  </si>
  <si>
    <t>OSTDS Phase Out</t>
  </si>
  <si>
    <t>Pervious Pavement</t>
  </si>
  <si>
    <t>Pervious Pavers</t>
  </si>
  <si>
    <t>Plugging Artesian Wells</t>
  </si>
  <si>
    <t>Reclaimed Water</t>
  </si>
  <si>
    <t>Regional Stormwater Treatment</t>
  </si>
  <si>
    <t>Retention/Detention BMP Retrofit with Nutrient Reducing Media</t>
  </si>
  <si>
    <t>Sanitary Sewer and Wastewater Treatment Facility (WWTF) Maintenance</t>
  </si>
  <si>
    <t>Sanitary Sewer Inspections</t>
  </si>
  <si>
    <t>SAV Planting</t>
  </si>
  <si>
    <t>Shoreline Stabilization</t>
  </si>
  <si>
    <t>Stormwater Aeration System</t>
  </si>
  <si>
    <t>Stormwater Reuse</t>
  </si>
  <si>
    <t>Stormwater System Rehabilitation</t>
  </si>
  <si>
    <t>Stormwater Treatment Areas (STAs)</t>
  </si>
  <si>
    <t>Study</t>
  </si>
  <si>
    <t>Turbidity Reducing Polymers (e.g., Floc logs ®)</t>
  </si>
  <si>
    <t>Vegetated Buffers</t>
  </si>
  <si>
    <t>Wastewater Service Area Expansion</t>
  </si>
  <si>
    <t>Wetland Restoration</t>
  </si>
  <si>
    <t>Wetland Treatment</t>
  </si>
  <si>
    <t>WWTF Diversion to Reuse</t>
  </si>
  <si>
    <t>WWTF Upgrade</t>
  </si>
  <si>
    <t>DEP/ HUD</t>
  </si>
  <si>
    <t>DEP - $95,000/ SJRWMD - $95,000</t>
  </si>
  <si>
    <t>FDOT-14b</t>
  </si>
  <si>
    <t>79110-xxx4-02 (Pond 1A)</t>
  </si>
  <si>
    <t>Wet detention pond. Credits included in FDOT-14.</t>
  </si>
  <si>
    <t>FDOT-15b</t>
  </si>
  <si>
    <t>79110-xxx4-04 (Pond 2A)</t>
  </si>
  <si>
    <t>Dry detention pond. Credits included in FDOT-15.</t>
  </si>
  <si>
    <t>FDOT-26b</t>
  </si>
  <si>
    <t>Wet detention pond. Credits included in FDOT-26.</t>
  </si>
  <si>
    <t>Sum of CostEstimate</t>
  </si>
  <si>
    <t>Sum of CostAnnualO&amp;M</t>
  </si>
  <si>
    <t>Sum of TNReduction(lbs/yr)</t>
  </si>
  <si>
    <t>Sum of TPReduction(lbs/yr)</t>
  </si>
  <si>
    <t>Count of ProjectStatus</t>
  </si>
  <si>
    <t>Year</t>
  </si>
  <si>
    <t>5-Year Milestone</t>
  </si>
  <si>
    <t>TN Project Reductions</t>
  </si>
  <si>
    <t>TP Project Reductions</t>
  </si>
  <si>
    <t>Agricultural Producers</t>
  </si>
  <si>
    <t>FDACS-03e</t>
  </si>
  <si>
    <t>BMP Implementation and Verification</t>
  </si>
  <si>
    <t>Enrollment and verification of BMPs by agricultural producers.</t>
  </si>
  <si>
    <t>Credit for changes in land use.</t>
  </si>
  <si>
    <t>GIS Provided</t>
  </si>
  <si>
    <t>Reduction of fertilizer application (Ordinance 04-17).</t>
  </si>
  <si>
    <t>Public Education and Ordinances</t>
  </si>
  <si>
    <t>Citywide Lake Monitoring Program</t>
  </si>
  <si>
    <t>City of DeBary Stormwater Assessment Fee</t>
  </si>
  <si>
    <t>BMP Clean Out</t>
  </si>
  <si>
    <t>DB-05</t>
  </si>
  <si>
    <t>Underway/Ongoing</t>
  </si>
  <si>
    <t>DEL-10</t>
  </si>
  <si>
    <t>DEL-11</t>
  </si>
  <si>
    <t>DEL-12</t>
  </si>
  <si>
    <t>DEL-13</t>
  </si>
  <si>
    <t>DEL-14</t>
  </si>
  <si>
    <t>SJRWMD/ DEP</t>
  </si>
  <si>
    <t>Lake Monroe Surface Water Intake (Future)</t>
  </si>
  <si>
    <t>DRA GC4</t>
  </si>
  <si>
    <t>Water quality treatment for a residential basin within the BMAP area.</t>
  </si>
  <si>
    <t>DRA GC7</t>
  </si>
  <si>
    <t>Norwood Stormwater Lift Station (Future)</t>
  </si>
  <si>
    <t>Deltona</t>
  </si>
  <si>
    <t>Saxon/I-4 Stormwater Lift Station (Future)</t>
  </si>
  <si>
    <t>WW641830</t>
  </si>
  <si>
    <t>Deltona/ SJRWMD/ DEP</t>
  </si>
  <si>
    <t>Tivoli/Wheeling Stormwater Lift Station</t>
  </si>
  <si>
    <t>2018</t>
  </si>
  <si>
    <t>Wet detention pond 1 and 1A.</t>
  </si>
  <si>
    <t>Wet detention pond 2 and 2A.</t>
  </si>
  <si>
    <t>FM: 408464 SR 400 Widening (from SR 44 to East of I-95)</t>
  </si>
  <si>
    <t>FDOT-44</t>
  </si>
  <si>
    <t>FM: 240200-3-52-01</t>
  </si>
  <si>
    <t>SR 46 (Wekiva Parkway) from Orange Blvd. to N. Oregon St./Wayside Dr.</t>
  </si>
  <si>
    <t>Provided in 2019 project collection</t>
  </si>
  <si>
    <t>OC-02</t>
  </si>
  <si>
    <t>Stormwater Inlet Cleaning and Maintenance</t>
  </si>
  <si>
    <t>Municipal operation pollution prevention and good housekeeping which occurs annually.</t>
  </si>
  <si>
    <t>Orange City</t>
  </si>
  <si>
    <t>VC-09</t>
  </si>
  <si>
    <t>Fertilizer Ordinance</t>
  </si>
  <si>
    <t>Fertilizer restrictions including summer ban on nitrogen and phosphorus.</t>
  </si>
  <si>
    <t>Volusia County General Fund</t>
  </si>
  <si>
    <t>Count of ProjectType</t>
  </si>
  <si>
    <t>Leland Stormwater Lift Station</t>
  </si>
  <si>
    <t>Stormwater is pumped into Alexander Avenue Water Resources Facility (AAWRF) for treatment. The AAWRF treats up to 4MGD of surface water and stormwater used to augment the Public Access Reuse (PAR) systems for  Deltona and Volusia County.</t>
  </si>
  <si>
    <t>Ongoing</t>
  </si>
  <si>
    <t>Quarterly lake monitoring sampling.</t>
  </si>
  <si>
    <t>Retrofit project to treat runoff from the Tangerine drainage basin prior to discharging to Lake Helen.</t>
  </si>
  <si>
    <t>Retrofit project to treat runoff from the Connecticut Avenue drainage basin prior to discharging to Lake Helen.</t>
  </si>
  <si>
    <t>Retrofit project to treat runoff from the Main Street drainage basin prior to discharging to Lake Helen.</t>
  </si>
  <si>
    <t>Treatment of stormwater flow from a major outfall, prior to discharge to Lake Monroe. The existing flow will be diverted through a natural wetland, for filtering, and pond to a set elevation before flowing over a weir to existing outfall.</t>
  </si>
  <si>
    <t>DEP/ SJRWMD</t>
  </si>
  <si>
    <t>FYN; Irrigation Ordinance; Pet Waste Ordinance; PSAs, website, brochures, and inspection program for illicit discharges.</t>
  </si>
  <si>
    <t>Clean out of BMPs, an average of 150 cubic yards of material per year collected in the contributing watershed.</t>
  </si>
  <si>
    <t>Enrollment and verification of BMPs by agricultural producers. Reductions based on HSPF model. Acres treated based on FDACS OAWP December 2019 Enrollment and FSAID VI.</t>
  </si>
  <si>
    <t>DB-06</t>
  </si>
  <si>
    <t>Structural   </t>
  </si>
  <si>
    <t>Retention/Detention BMP with Nutrient Reducing Media </t>
  </si>
  <si>
    <t>Prior to 2018</t>
  </si>
  <si>
    <t>See DEP Model</t>
  </si>
  <si>
    <t>City/ Stormwater Utility/ DEP SRF</t>
  </si>
  <si>
    <t>VC/ DEP/ SJRWMD</t>
  </si>
  <si>
    <t>City/ Stormwater Utility/ DEP SRF/ Community Development Block Grant (CDBG)</t>
  </si>
  <si>
    <t>Ad valorem taxes/ FFL cost shares</t>
  </si>
  <si>
    <t>City - $28,000/ County - $37,000</t>
  </si>
  <si>
    <t>VC/ SJRWMD</t>
  </si>
  <si>
    <t>VC-10</t>
  </si>
  <si>
    <t>Thornby Park Improvement Project</t>
  </si>
  <si>
    <t>2020</t>
  </si>
  <si>
    <t>Number of Projects Added by Year</t>
  </si>
  <si>
    <t>Number of projects completed in 2019 and Number of ongoing projects</t>
  </si>
  <si>
    <t>Installation of baffle boxes and upflow filtration system.</t>
  </si>
  <si>
    <t>Min/Max of Project IDs</t>
  </si>
  <si>
    <t>Count of ProjID</t>
  </si>
  <si>
    <t>Sum of ProjID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</si>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</sst>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mm/dd/yy;@"/>
    <numFmt numFmtId="167" formatCode="&quot;$&quot;#,##0.00"/>
    <numFmt numFmtId="168" formatCode="0.00000"/>
    <numFmt numFmtId="169" formatCode="_(* #,##0_);_(* \(#,##0\);_(* &quot;-&quot;??_);_(@_)"/>
  </numFmts>
  <fonts count="14" x14ac:knownFonts="1">
    <font>
      <sz val="11"/>
      <color theme="1"/>
      <name val="Calibri"/>
      <family val="2"/>
      <scheme val="minor"/>
    </font>
    <font>
      <sz val="11"/>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indexed="8"/>
      <name val="Times New Roman"/>
      <family val="1"/>
    </font>
    <font>
      <sz val="10"/>
      <color theme="1"/>
      <name val="Calibri"/>
      <family val="2"/>
      <scheme val="minor"/>
    </font>
    <font>
      <vertAlign val="superscript"/>
      <sz val="10"/>
      <color theme="1"/>
      <name val="Calibri"/>
      <family val="2"/>
      <scheme val="minor"/>
    </font>
    <font>
      <sz val="10"/>
      <name val="Times New Roman"/>
      <family val="1"/>
    </font>
    <font>
      <b/>
      <vertAlign val="superscript"/>
      <sz val="10"/>
      <color theme="1"/>
      <name val="Times New Roman"/>
      <family val="1"/>
    </font>
    <font>
      <b/>
      <sz val="11"/>
      <color theme="1"/>
      <name val="Calibri"/>
      <family val="2"/>
      <scheme val="minor"/>
    </font>
    <font>
      <b/>
      <sz val="11"/>
      <color rgb="FF000000"/>
      <name val="Calibri"/>
      <family val="2"/>
    </font>
    <font>
      <sz val="8"/>
      <name val="Calibri"/>
      <family val="2"/>
      <scheme val="minor"/>
    </font>
    <font>
      <sz val="12"/>
      <color theme="1"/>
      <name val="Times New Roman"/>
      <family val="1"/>
    </font>
  </fonts>
  <fills count="14">
    <fill>
      <patternFill patternType="none"/>
    </fill>
    <fill>
      <patternFill patternType="gray125"/>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tint="-0.34998626667073579"/>
        <bgColor indexed="64"/>
      </patternFill>
    </fill>
    <fill>
      <patternFill patternType="solid">
        <fgColor theme="4" tint="0.39997558519241921"/>
        <bgColor theme="4" tint="0.79998168889431442"/>
      </patternFill>
    </fill>
    <fill>
      <patternFill patternType="solid">
        <fgColor theme="4" tint="0.39997558519241921"/>
        <bgColor indexed="64"/>
      </patternFill>
    </fill>
    <fill>
      <patternFill patternType="solid">
        <fgColor rgb="FFC0C0C0"/>
        <bgColor rgb="FFC0C0C0"/>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7" tint="0.39997558519241921"/>
        <bgColor indexed="64"/>
      </patternFill>
    </fill>
    <fill>
      <patternFill patternType="solid">
        <fgColor rgb="FF92D050"/>
        <bgColor indexed="64"/>
      </patternFill>
    </fill>
    <fill>
      <patternFill patternType="solid">
        <fgColor theme="8"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123">
    <xf numFmtId="0" fontId="0" fillId="0" borderId="0" xfId="0"/>
    <xf numFmtId="0" fontId="2"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xf numFmtId="3" fontId="2" fillId="0" borderId="0" xfId="0" applyNumberFormat="1" applyFont="1"/>
    <xf numFmtId="0" fontId="3" fillId="2" borderId="1" xfId="0" applyFont="1" applyFill="1" applyBorder="1" applyAlignment="1">
      <alignment horizontal="center" wrapText="1"/>
    </xf>
    <xf numFmtId="0" fontId="0" fillId="0" borderId="0" xfId="0" pivotButton="1"/>
    <xf numFmtId="0" fontId="0" fillId="0" borderId="0" xfId="0" applyAlignment="1">
      <alignment horizontal="left"/>
    </xf>
    <xf numFmtId="0" fontId="0" fillId="0" borderId="1" xfId="0" applyBorder="1"/>
    <xf numFmtId="0" fontId="0" fillId="0" borderId="1" xfId="0" applyBorder="1" applyAlignment="1">
      <alignment horizontal="left"/>
    </xf>
    <xf numFmtId="0" fontId="0" fillId="0" borderId="1" xfId="0" applyBorder="1" applyAlignment="1">
      <alignment horizontal="center"/>
    </xf>
    <xf numFmtId="3" fontId="2" fillId="0" borderId="1" xfId="0" applyNumberFormat="1" applyFont="1" applyBorder="1" applyAlignment="1">
      <alignment horizontal="center"/>
    </xf>
    <xf numFmtId="3" fontId="0" fillId="0" borderId="0" xfId="0" applyNumberFormat="1"/>
    <xf numFmtId="9" fontId="2" fillId="0" borderId="1" xfId="1" applyFont="1" applyBorder="1" applyAlignment="1">
      <alignment horizontal="center"/>
    </xf>
    <xf numFmtId="0" fontId="6" fillId="0" borderId="0" xfId="0" applyFont="1"/>
    <xf numFmtId="0" fontId="6" fillId="0" borderId="0" xfId="0" applyFont="1" applyAlignment="1">
      <alignment wrapText="1"/>
    </xf>
    <xf numFmtId="0" fontId="6" fillId="0" borderId="0" xfId="0" applyFont="1" applyAlignment="1">
      <alignment horizontal="center" wrapText="1"/>
    </xf>
    <xf numFmtId="0" fontId="6" fillId="0" borderId="0" xfId="0" applyFont="1" applyAlignment="1">
      <alignment horizontal="left"/>
    </xf>
    <xf numFmtId="0" fontId="0" fillId="0" borderId="4" xfId="0" applyBorder="1"/>
    <xf numFmtId="165" fontId="4" fillId="0" borderId="1" xfId="0" applyNumberFormat="1" applyFont="1" applyBorder="1" applyAlignment="1">
      <alignment horizontal="center" vertical="center" wrapText="1"/>
    </xf>
    <xf numFmtId="165" fontId="6" fillId="0" borderId="0" xfId="0" applyNumberFormat="1" applyFont="1"/>
    <xf numFmtId="0" fontId="3" fillId="2" borderId="1" xfId="0" applyFont="1" applyFill="1" applyBorder="1" applyAlignment="1">
      <alignment horizontal="center"/>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2" fillId="0" borderId="1" xfId="0" applyNumberFormat="1" applyFont="1" applyBorder="1" applyAlignment="1">
      <alignment horizontal="center" vertical="center" wrapText="1"/>
    </xf>
    <xf numFmtId="3" fontId="6" fillId="0" borderId="0" xfId="0" applyNumberFormat="1" applyFont="1"/>
    <xf numFmtId="165" fontId="2" fillId="0" borderId="1" xfId="0" applyNumberFormat="1" applyFont="1" applyBorder="1" applyAlignment="1">
      <alignment horizontal="center" vertical="center" wrapText="1"/>
    </xf>
    <xf numFmtId="3" fontId="4" fillId="0" borderId="1" xfId="3"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5" fontId="2" fillId="0" borderId="1" xfId="2" applyNumberFormat="1" applyFont="1" applyBorder="1" applyAlignment="1">
      <alignment horizontal="center" vertical="center" wrapText="1"/>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0" xfId="0" applyFont="1" applyAlignment="1">
      <alignment horizontal="center" vertical="center" wrapText="1"/>
    </xf>
    <xf numFmtId="168" fontId="8" fillId="0" borderId="1" xfId="4" applyNumberFormat="1" applyFont="1" applyBorder="1" applyAlignment="1">
      <alignment horizontal="center" vertical="center" wrapText="1"/>
    </xf>
    <xf numFmtId="0" fontId="8" fillId="0" borderId="0" xfId="0" applyFont="1" applyAlignment="1">
      <alignment horizontal="center" vertical="center" wrapText="1"/>
    </xf>
    <xf numFmtId="166" fontId="2" fillId="0" borderId="1" xfId="0" applyNumberFormat="1" applyFont="1" applyBorder="1" applyAlignment="1">
      <alignment horizontal="center" vertical="center" wrapText="1"/>
    </xf>
    <xf numFmtId="17"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0" fillId="0" borderId="1" xfId="0" pivotButton="1" applyBorder="1"/>
    <xf numFmtId="165" fontId="0" fillId="0" borderId="0" xfId="0" pivotButton="1" applyNumberFormat="1"/>
    <xf numFmtId="165" fontId="0" fillId="0" borderId="0" xfId="0" applyNumberFormat="1"/>
    <xf numFmtId="0" fontId="2" fillId="0" borderId="1" xfId="0" pivotButton="1" applyFont="1" applyBorder="1"/>
    <xf numFmtId="0" fontId="2" fillId="0" borderId="1" xfId="0" applyFont="1" applyBorder="1"/>
    <xf numFmtId="0" fontId="2" fillId="0" borderId="1" xfId="0" applyFont="1" applyBorder="1" applyAlignment="1">
      <alignment horizontal="left"/>
    </xf>
    <xf numFmtId="3" fontId="2" fillId="0" borderId="1" xfId="3" applyNumberFormat="1" applyFont="1" applyBorder="1" applyAlignment="1">
      <alignment horizontal="center"/>
    </xf>
    <xf numFmtId="3" fontId="8" fillId="0" borderId="1" xfId="1" applyNumberFormat="1" applyFont="1" applyBorder="1" applyAlignment="1">
      <alignment horizontal="center"/>
    </xf>
    <xf numFmtId="3" fontId="8" fillId="0" borderId="1" xfId="0" applyNumberFormat="1" applyFont="1" applyBorder="1" applyAlignment="1">
      <alignment horizontal="center"/>
    </xf>
    <xf numFmtId="3" fontId="2" fillId="0" borderId="1" xfId="1" applyNumberFormat="1" applyFont="1" applyBorder="1" applyAlignment="1">
      <alignment horizontal="center"/>
    </xf>
    <xf numFmtId="164" fontId="2" fillId="0" borderId="0" xfId="0" applyNumberFormat="1" applyFont="1"/>
    <xf numFmtId="0" fontId="0" fillId="4" borderId="0" xfId="0" applyFill="1"/>
    <xf numFmtId="3" fontId="3" fillId="3" borderId="1" xfId="0" applyNumberFormat="1"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left"/>
    </xf>
    <xf numFmtId="3" fontId="2" fillId="2" borderId="1" xfId="0" applyNumberFormat="1" applyFont="1" applyFill="1" applyBorder="1" applyAlignment="1">
      <alignment horizontal="center"/>
    </xf>
    <xf numFmtId="9" fontId="3" fillId="2" borderId="1" xfId="1" applyFont="1" applyFill="1" applyBorder="1" applyAlignment="1">
      <alignment horizontal="center"/>
    </xf>
    <xf numFmtId="3" fontId="3" fillId="2" borderId="1" xfId="0" applyNumberFormat="1" applyFont="1" applyFill="1" applyBorder="1" applyAlignment="1">
      <alignment horizontal="center"/>
    </xf>
    <xf numFmtId="0" fontId="3" fillId="5" borderId="1" xfId="0" applyFont="1" applyFill="1" applyBorder="1" applyAlignment="1">
      <alignment horizontal="center" wrapText="1"/>
    </xf>
    <xf numFmtId="0" fontId="3" fillId="6" borderId="1" xfId="0" applyFont="1" applyFill="1" applyBorder="1" applyAlignment="1">
      <alignment horizontal="center" wrapText="1"/>
    </xf>
    <xf numFmtId="0" fontId="3" fillId="4" borderId="0" xfId="0" applyFont="1" applyFill="1"/>
    <xf numFmtId="0" fontId="4"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5" fillId="0" borderId="1" xfId="0" quotePrefix="1" applyFont="1" applyBorder="1" applyAlignment="1">
      <alignment horizontal="center" vertical="center" wrapText="1"/>
    </xf>
    <xf numFmtId="0" fontId="11" fillId="7" borderId="1" xfId="0" applyFont="1" applyFill="1" applyBorder="1" applyAlignment="1">
      <alignment horizontal="center" vertical="center"/>
    </xf>
    <xf numFmtId="3" fontId="11" fillId="7" borderId="1" xfId="0" applyNumberFormat="1" applyFont="1" applyFill="1" applyBorder="1" applyAlignment="1">
      <alignment horizontal="center" vertical="center"/>
    </xf>
    <xf numFmtId="43" fontId="0" fillId="0" borderId="0" xfId="0" applyNumberFormat="1"/>
    <xf numFmtId="169" fontId="0" fillId="0" borderId="0" xfId="0" applyNumberFormat="1"/>
    <xf numFmtId="0" fontId="0" fillId="0" borderId="1" xfId="0" applyBorder="1" applyAlignment="1">
      <alignment wrapText="1"/>
    </xf>
    <xf numFmtId="0" fontId="1" fillId="8" borderId="3" xfId="0" applyFont="1" applyFill="1" applyBorder="1"/>
    <xf numFmtId="3" fontId="0" fillId="0" borderId="1" xfId="0" applyNumberFormat="1" applyBorder="1"/>
    <xf numFmtId="0" fontId="0" fillId="0" borderId="0" xfId="0" applyNumberFormat="1"/>
    <xf numFmtId="0" fontId="0" fillId="0" borderId="1" xfId="0" applyNumberFormat="1" applyBorder="1" applyAlignment="1">
      <alignment horizontal="center"/>
    </xf>
    <xf numFmtId="0" fontId="0" fillId="0" borderId="0" xfId="0" applyFill="1" applyBorder="1"/>
    <xf numFmtId="9" fontId="3" fillId="9" borderId="1" xfId="1" applyFont="1" applyFill="1" applyBorder="1" applyAlignment="1">
      <alignment horizontal="center"/>
    </xf>
    <xf numFmtId="0" fontId="6" fillId="0" borderId="0" xfId="0" pivotButton="1" applyFont="1"/>
    <xf numFmtId="164" fontId="4" fillId="10" borderId="1" xfId="0" applyNumberFormat="1" applyFont="1" applyFill="1" applyBorder="1" applyAlignment="1">
      <alignment horizontal="center" vertical="center" wrapText="1"/>
    </xf>
    <xf numFmtId="3"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3" fontId="4" fillId="10" borderId="1" xfId="0" applyNumberFormat="1" applyFont="1" applyFill="1" applyBorder="1" applyAlignment="1">
      <alignment horizontal="center" vertical="center" wrapText="1"/>
    </xf>
    <xf numFmtId="165" fontId="2" fillId="10" borderId="1"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165" fontId="4" fillId="10" borderId="1" xfId="0" applyNumberFormat="1" applyFont="1" applyFill="1" applyBorder="1" applyAlignment="1">
      <alignment horizontal="center" vertical="center" wrapText="1"/>
    </xf>
    <xf numFmtId="14" fontId="2" fillId="1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3" fontId="4" fillId="11" borderId="1" xfId="0" applyNumberFormat="1" applyFont="1" applyFill="1" applyBorder="1" applyAlignment="1">
      <alignment horizontal="center" vertical="center" wrapText="1"/>
    </xf>
    <xf numFmtId="165" fontId="2" fillId="11" borderId="1" xfId="0" applyNumberFormat="1" applyFont="1" applyFill="1" applyBorder="1" applyAlignment="1">
      <alignment horizontal="center" vertical="center" wrapText="1"/>
    </xf>
    <xf numFmtId="6" fontId="2" fillId="11" borderId="1" xfId="0" applyNumberFormat="1"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49" fontId="2" fillId="0" borderId="1" xfId="0" quotePrefix="1" applyNumberFormat="1" applyFont="1" applyBorder="1" applyAlignment="1">
      <alignment horizontal="center" vertical="center" wrapText="1"/>
    </xf>
    <xf numFmtId="0" fontId="11" fillId="7" borderId="1"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13" fillId="0" borderId="0" xfId="0" applyFont="1" applyAlignment="1">
      <alignment vertical="center" wrapText="1"/>
    </xf>
    <xf numFmtId="49" fontId="11" fillId="7"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11" borderId="1" xfId="0" quotePrefix="1" applyNumberFormat="1" applyFont="1" applyFill="1" applyBorder="1" applyAlignment="1">
      <alignment horizontal="center" vertical="center" wrapText="1"/>
    </xf>
    <xf numFmtId="49" fontId="6" fillId="0" borderId="0" xfId="0" applyNumberFormat="1" applyFont="1"/>
    <xf numFmtId="3" fontId="11" fillId="7"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11" fillId="7" borderId="1" xfId="0" applyNumberFormat="1"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2" fillId="12" borderId="1" xfId="0" applyNumberFormat="1" applyFont="1" applyFill="1" applyBorder="1" applyAlignment="1">
      <alignment horizontal="center" vertical="center" wrapText="1"/>
    </xf>
    <xf numFmtId="165" fontId="10" fillId="0" borderId="0" xfId="0" applyNumberFormat="1" applyFont="1"/>
    <xf numFmtId="49" fontId="2" fillId="10" borderId="1" xfId="0" quotePrefix="1"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8" fillId="10" borderId="1" xfId="0" applyFont="1" applyFill="1" applyBorder="1" applyAlignment="1">
      <alignment horizontal="center" vertical="center" wrapText="1"/>
    </xf>
    <xf numFmtId="0" fontId="4" fillId="10" borderId="1" xfId="0" quotePrefix="1"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 xfId="0" quotePrefix="1" applyFont="1" applyFill="1" applyBorder="1" applyAlignment="1">
      <alignment horizontal="center" vertical="center" wrapText="1"/>
    </xf>
    <xf numFmtId="0" fontId="6" fillId="13" borderId="0" xfId="0" applyFont="1" applyFill="1" applyAlignment="1">
      <alignment horizontal="center" vertical="center" wrapText="1"/>
    </xf>
    <xf numFmtId="0" fontId="10" fillId="0" borderId="0" xfId="0" applyFont="1" applyAlignment="1">
      <alignment wrapText="1"/>
    </xf>
  </cellXfs>
  <cellStyles count="6">
    <cellStyle name="Comma" xfId="3" builtinId="3"/>
    <cellStyle name="Currency" xfId="2" builtinId="4"/>
    <cellStyle name="Normal" xfId="0" builtinId="0"/>
    <cellStyle name="Normal 16" xfId="5" xr:uid="{D9958BAC-FA26-42F3-9A44-C2601718D970}"/>
    <cellStyle name="Normal 2" xfId="4" xr:uid="{00000000-0005-0000-0000-000003000000}"/>
    <cellStyle name="Percent" xfId="1" builtinId="5"/>
  </cellStyles>
  <dxfs count="37">
    <dxf>
      <numFmt numFmtId="3" formatCode="#,##0"/>
    </dxf>
    <dxf>
      <numFmt numFmtId="3" formatCode="#,##0"/>
    </dxf>
    <dxf>
      <numFmt numFmtId="3" formatCode="#,##0"/>
    </dxf>
    <dxf>
      <numFmt numFmtId="169" formatCode="_(* #,##0_);_(* \(#,##0\);_(* &quot;-&quot;??_);_(@_)"/>
    </dxf>
    <dxf>
      <numFmt numFmtId="0" formatCode="General"/>
    </dxf>
    <dxf>
      <numFmt numFmtId="165" formatCode="&quot;$&quot;#,##0"/>
    </dxf>
    <dxf>
      <numFmt numFmtId="165" formatCode="&quot;$&quot;#,##0"/>
    </dxf>
    <dxf>
      <numFmt numFmtId="35" formatCode="_(* #,##0.00_);_(* \(#,##0.00\);_(* &quot;-&quot;??_);_(@_)"/>
    </dxf>
    <dxf>
      <numFmt numFmtId="165" formatCode="&quot;$&quot;#,##0"/>
    </dxf>
    <dxf>
      <numFmt numFmtId="165" formatCode="&quot;$&quot;#,##0"/>
    </dxf>
    <dxf>
      <fill>
        <patternFill>
          <bgColor theme="4" tint="0.79998168889431442"/>
        </patternFill>
      </fill>
    </dxf>
    <dxf>
      <fill>
        <patternFill>
          <bgColor theme="4" tint="0.79998168889431442"/>
        </patternFill>
      </fill>
    </dxf>
    <dxf>
      <font>
        <sz val="10"/>
      </font>
    </dxf>
    <dxf>
      <font>
        <sz val="10"/>
      </font>
    </dxf>
    <dxf>
      <font>
        <sz val="10"/>
      </font>
    </dxf>
    <dxf>
      <font>
        <name val="Times New Roman"/>
        <family val="1"/>
        <scheme val="none"/>
      </font>
    </dxf>
    <dxf>
      <font>
        <name val="Times New Roman"/>
        <family val="1"/>
        <scheme val="none"/>
      </font>
    </dxf>
    <dxf>
      <font>
        <name val="Times New Roman"/>
        <family val="1"/>
        <scheme val="none"/>
      </font>
    </dxf>
    <dxf>
      <numFmt numFmtId="3" formatCode="#,##0"/>
    </dxf>
    <dxf>
      <numFmt numFmtId="3" formatCode="#,##0"/>
    </dxf>
    <dxf>
      <numFmt numFmtId="1" formatCode="0"/>
    </dxf>
    <dxf>
      <numFmt numFmtId="170" formatCode="0.0"/>
    </dxf>
    <dxf>
      <numFmt numFmtId="1" formatCode="0"/>
    </dxf>
    <dxf>
      <border>
        <bottom style="thin">
          <color indexed="64"/>
        </bottom>
        <vertical style="thin">
          <color indexed="64"/>
        </vertical>
        <horizontal style="thin">
          <color indexed="64"/>
        </horizontal>
      </border>
    </dxf>
    <dxf>
      <alignment horizontal="cent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pivotCacheDefinition" Target="pivotCache/pivotCacheDefinition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TN Project Reductions</a:t>
            </a:r>
          </a:p>
        </c:rich>
      </c:tx>
      <c:overlay val="0"/>
      <c:spPr>
        <a:noFill/>
        <a:ln>
          <a:noFill/>
        </a:ln>
        <a:effectLst/>
      </c:spPr>
      <c:txPr>
        <a:bodyPr rot="0" spcFirstLastPara="1" vertOverflow="ellipsis" vert="horz" wrap="square" anchor="ctr" anchorCtr="1"/>
        <a:lstStyle/>
        <a:p>
          <a:pPr algn="ctr">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Charts'!$F$1</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541A-4A70-A947-EB1BE2FCC0BC}"/>
            </c:ext>
          </c:extLst>
        </c:ser>
        <c:ser>
          <c:idx val="1"/>
          <c:order val="1"/>
          <c:tx>
            <c:strRef>
              <c:f>'Progress Charts'!$G$1</c:f>
              <c:strCache>
                <c:ptCount val="1"/>
                <c:pt idx="0">
                  <c:v>TN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Charts'!$G$2:$G$22</c:f>
              <c:numCache>
                <c:formatCode>#,##0</c:formatCode>
                <c:ptCount val="21"/>
                <c:pt idx="0">
                  <c:v>74474.564609897832</c:v>
                </c:pt>
                <c:pt idx="1">
                  <c:v>79193.364609897835</c:v>
                </c:pt>
                <c:pt idx="2">
                  <c:v>82940.464609897841</c:v>
                </c:pt>
                <c:pt idx="3">
                  <c:v>91197.964609897841</c:v>
                </c:pt>
                <c:pt idx="4">
                  <c:v>102955.36460989784</c:v>
                </c:pt>
                <c:pt idx="5">
                  <c:v>102955.36460989784</c:v>
                </c:pt>
                <c:pt idx="6">
                  <c:v>103991.36460989784</c:v>
                </c:pt>
                <c:pt idx="7">
                  <c:v>105089.67283913032</c:v>
                </c:pt>
              </c:numCache>
            </c:numRef>
          </c:val>
          <c:smooth val="0"/>
          <c:extLst>
            <c:ext xmlns:c16="http://schemas.microsoft.com/office/drawing/2014/chart" uri="{C3380CC4-5D6E-409C-BE32-E72D297353CC}">
              <c16:uniqueId val="{00000001-541A-4A70-A947-EB1BE2FCC0BC}"/>
            </c:ext>
          </c:extLst>
        </c:ser>
        <c:ser>
          <c:idx val="2"/>
          <c:order val="2"/>
          <c:tx>
            <c:strRef>
              <c:f>'Progress Charts'!$H$1</c:f>
              <c:strCache>
                <c:ptCount val="1"/>
                <c:pt idx="0">
                  <c:v>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cat>
            <c:numRef>
              <c:f>'Progress Charts'!$F$2:$F$22</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Charts'!$H$2:$H$22</c:f>
              <c:numCache>
                <c:formatCode>General</c:formatCode>
                <c:ptCount val="21"/>
                <c:pt idx="5" formatCode="#,##0">
                  <c:v>43828</c:v>
                </c:pt>
              </c:numCache>
            </c:numRef>
          </c:val>
          <c:smooth val="0"/>
          <c:extLst>
            <c:ext xmlns:c16="http://schemas.microsoft.com/office/drawing/2014/chart" uri="{C3380CC4-5D6E-409C-BE32-E72D297353CC}">
              <c16:uniqueId val="{00000002-541A-4A70-A947-EB1BE2FCC0BC}"/>
            </c:ext>
          </c:extLst>
        </c:ser>
        <c:ser>
          <c:idx val="3"/>
          <c:order val="3"/>
          <c:tx>
            <c:strRef>
              <c:f>'Progress Charts'!$I$1</c:f>
              <c:strCache>
                <c:ptCount val="1"/>
                <c:pt idx="0">
                  <c:v>Total Reductions Required</c:v>
                </c:pt>
              </c:strCache>
            </c:strRef>
          </c:tx>
          <c:spPr>
            <a:ln w="28575" cap="rnd">
              <a:solidFill>
                <a:schemeClr val="tx1"/>
              </a:solidFill>
              <a:prstDash val="sysDash"/>
              <a:round/>
            </a:ln>
            <a:effectLst/>
          </c:spPr>
          <c:marker>
            <c:symbol val="none"/>
          </c:marker>
          <c:val>
            <c:numRef>
              <c:f>'Progress Charts'!$I$2:$I$22</c:f>
              <c:numCache>
                <c:formatCode>#,##0</c:formatCode>
                <c:ptCount val="21"/>
                <c:pt idx="0">
                  <c:v>87656</c:v>
                </c:pt>
                <c:pt idx="1">
                  <c:v>87656</c:v>
                </c:pt>
                <c:pt idx="2">
                  <c:v>87656</c:v>
                </c:pt>
                <c:pt idx="3">
                  <c:v>87656</c:v>
                </c:pt>
                <c:pt idx="4">
                  <c:v>87656</c:v>
                </c:pt>
                <c:pt idx="5">
                  <c:v>87656</c:v>
                </c:pt>
                <c:pt idx="6">
                  <c:v>87656</c:v>
                </c:pt>
                <c:pt idx="7">
                  <c:v>87656</c:v>
                </c:pt>
                <c:pt idx="8">
                  <c:v>87656</c:v>
                </c:pt>
                <c:pt idx="9">
                  <c:v>87656</c:v>
                </c:pt>
                <c:pt idx="10">
                  <c:v>87656</c:v>
                </c:pt>
                <c:pt idx="11">
                  <c:v>87656</c:v>
                </c:pt>
                <c:pt idx="12">
                  <c:v>87656</c:v>
                </c:pt>
                <c:pt idx="13">
                  <c:v>87656</c:v>
                </c:pt>
                <c:pt idx="14">
                  <c:v>87656</c:v>
                </c:pt>
                <c:pt idx="15">
                  <c:v>87656</c:v>
                </c:pt>
                <c:pt idx="16">
                  <c:v>87656</c:v>
                </c:pt>
                <c:pt idx="17">
                  <c:v>87656</c:v>
                </c:pt>
                <c:pt idx="18">
                  <c:v>87656</c:v>
                </c:pt>
                <c:pt idx="19">
                  <c:v>87656</c:v>
                </c:pt>
                <c:pt idx="20">
                  <c:v>87656</c:v>
                </c:pt>
              </c:numCache>
            </c:numRef>
          </c:val>
          <c:smooth val="0"/>
          <c:extLst>
            <c:ext xmlns:c16="http://schemas.microsoft.com/office/drawing/2014/chart" uri="{C3380CC4-5D6E-409C-BE32-E72D297353CC}">
              <c16:uniqueId val="{00000000-F642-4019-9AD4-981711ED4597}"/>
            </c:ext>
          </c:extLst>
        </c:ser>
        <c:dLbls>
          <c:showLegendKey val="0"/>
          <c:showVal val="0"/>
          <c:showCatName val="0"/>
          <c:showSerName val="0"/>
          <c:showPercent val="0"/>
          <c:showBubbleSize val="0"/>
        </c:dLbls>
        <c:marker val="1"/>
        <c:smooth val="0"/>
        <c:axId val="392613024"/>
        <c:axId val="392611712"/>
      </c:lineChart>
      <c:catAx>
        <c:axId val="392613024"/>
        <c:scaling>
          <c:orientation val="minMax"/>
        </c:scaling>
        <c:delete val="0"/>
        <c:axPos val="b"/>
        <c:title>
          <c:tx>
            <c:rich>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lgn="ctr" rtl="0">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1712"/>
        <c:crosses val="autoZero"/>
        <c:auto val="1"/>
        <c:lblAlgn val="ctr"/>
        <c:lblOffset val="100"/>
        <c:noMultiLvlLbl val="0"/>
      </c:catAx>
      <c:valAx>
        <c:axId val="392611712"/>
        <c:scaling>
          <c:orientation val="minMax"/>
          <c:max val="150000"/>
          <c:min val="4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lgn="ct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392613024"/>
        <c:crosses val="autoZero"/>
        <c:crossBetween val="midCat"/>
        <c:majorUnit val="1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rPr>
              <a:t>Lakes Harney, Monroe, Middle St. Johns River, and Smith Canal TP Project Reductions</a:t>
            </a:r>
          </a:p>
        </c:rich>
      </c:tx>
      <c:overlay val="0"/>
      <c:spPr>
        <a:noFill/>
        <a:ln>
          <a:noFill/>
        </a:ln>
        <a:effectLst/>
      </c:spPr>
      <c:txPr>
        <a:bodyPr rot="0" spcFirstLastPara="1" vertOverflow="ellipsis" vert="horz" wrap="square" anchor="ctr" anchorCtr="1"/>
        <a:lstStyle/>
        <a:p>
          <a:pPr algn="ctr" rtl="0">
            <a:defRPr lang="en-US"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lineChart>
        <c:grouping val="standard"/>
        <c:varyColors val="0"/>
        <c:ser>
          <c:idx val="0"/>
          <c:order val="0"/>
          <c:tx>
            <c:strRef>
              <c:f>'Progress Charts'!$F$24</c:f>
              <c:strCache>
                <c:ptCount val="1"/>
                <c:pt idx="0">
                  <c:v>Year</c:v>
                </c:pt>
              </c:strCache>
            </c:strRef>
          </c:tx>
          <c:spPr>
            <a:ln w="28575" cap="rnd">
              <a:solidFill>
                <a:schemeClr val="accent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val>
          <c:smooth val="0"/>
          <c:extLst>
            <c:ext xmlns:c16="http://schemas.microsoft.com/office/drawing/2014/chart" uri="{C3380CC4-5D6E-409C-BE32-E72D297353CC}">
              <c16:uniqueId val="{00000000-4468-49B3-8B87-B698C5E154A7}"/>
            </c:ext>
          </c:extLst>
        </c:ser>
        <c:ser>
          <c:idx val="1"/>
          <c:order val="1"/>
          <c:tx>
            <c:strRef>
              <c:f>'Progress Charts'!$G$24</c:f>
              <c:strCache>
                <c:ptCount val="1"/>
                <c:pt idx="0">
                  <c:v>TP Project Reductions</c:v>
                </c:pt>
              </c:strCache>
            </c:strRef>
          </c:tx>
          <c:spPr>
            <a:ln w="28575" cap="rnd">
              <a:solidFill>
                <a:schemeClr val="tx1"/>
              </a:solidFill>
              <a:round/>
            </a:ln>
            <a:effectLst/>
          </c:spPr>
          <c:marker>
            <c:symbol val="circle"/>
            <c:size val="5"/>
            <c:spPr>
              <a:solidFill>
                <a:schemeClr val="tx1"/>
              </a:solidFill>
              <a:ln w="22225">
                <a:solidFill>
                  <a:schemeClr val="tx1"/>
                </a:solidFill>
              </a:ln>
              <a:effectLst/>
            </c:spPr>
          </c:marker>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Charts'!$G$25:$G$45</c:f>
              <c:numCache>
                <c:formatCode>#,##0</c:formatCode>
                <c:ptCount val="21"/>
                <c:pt idx="0">
                  <c:v>18484.610847204032</c:v>
                </c:pt>
                <c:pt idx="1">
                  <c:v>19473.210847204031</c:v>
                </c:pt>
                <c:pt idx="2">
                  <c:v>20158.110847204032</c:v>
                </c:pt>
                <c:pt idx="3">
                  <c:v>21697.410847204032</c:v>
                </c:pt>
                <c:pt idx="4">
                  <c:v>23643.01084720403</c:v>
                </c:pt>
                <c:pt idx="5">
                  <c:v>23643.01084720403</c:v>
                </c:pt>
                <c:pt idx="6">
                  <c:v>23851.01084720403</c:v>
                </c:pt>
                <c:pt idx="7">
                  <c:v>23926.294977621874</c:v>
                </c:pt>
              </c:numCache>
            </c:numRef>
          </c:val>
          <c:smooth val="0"/>
          <c:extLst>
            <c:ext xmlns:c16="http://schemas.microsoft.com/office/drawing/2014/chart" uri="{C3380CC4-5D6E-409C-BE32-E72D297353CC}">
              <c16:uniqueId val="{00000001-4468-49B3-8B87-B698C5E154A7}"/>
            </c:ext>
          </c:extLst>
        </c:ser>
        <c:ser>
          <c:idx val="2"/>
          <c:order val="2"/>
          <c:tx>
            <c:strRef>
              <c:f>'Progress Charts'!$H$24</c:f>
              <c:strCache>
                <c:ptCount val="1"/>
                <c:pt idx="0">
                  <c:v>5-Year Milestone</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Pt>
            <c:idx val="5"/>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3-4468-49B3-8B87-B698C5E154A7}"/>
              </c:ext>
            </c:extLst>
          </c:dPt>
          <c:dLbls>
            <c:dLbl>
              <c:idx val="5"/>
              <c:tx>
                <c:rich>
                  <a:bodyPr/>
                  <a:lstStyle/>
                  <a:p>
                    <a:r>
                      <a:rPr lang="en-US"/>
                      <a:t>5-Year</a:t>
                    </a:r>
                    <a:r>
                      <a:rPr lang="en-US" baseline="0"/>
                      <a:t> Milestone</a:t>
                    </a:r>
                  </a:p>
                  <a:p>
                    <a:fld id="{C595C8FA-B4C4-4E3D-886F-5D52FEF35BD8}" type="VALUE">
                      <a:rPr lang="en-US"/>
                      <a:pPr/>
                      <a:t>[VALUE]</a:t>
                    </a:fld>
                    <a:endParaRPr lang="en-US"/>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4468-49B3-8B87-B698C5E154A7}"/>
                </c:ext>
              </c:extLst>
            </c:dLbl>
            <c:spPr>
              <a:noFill/>
              <a:ln>
                <a:noFill/>
              </a:ln>
              <a:effectLst/>
            </c:spPr>
            <c:txPr>
              <a:bodyPr rot="0" spcFirstLastPara="1" vertOverflow="ellipsis" vert="horz" wrap="square" lIns="38100" tIns="19050" rIns="38100" bIns="19050" anchor="ctr" anchorCtr="1">
                <a:spAutoFit/>
              </a:bodyPr>
              <a:lstStyle/>
              <a:p>
                <a:pPr>
                  <a:defRPr lang="en-US"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Charts'!$F$25:$F$45</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'Progress Charts'!$H$25:$H$45</c:f>
              <c:numCache>
                <c:formatCode>General</c:formatCode>
                <c:ptCount val="21"/>
                <c:pt idx="5" formatCode="#,##0">
                  <c:v>8582</c:v>
                </c:pt>
              </c:numCache>
            </c:numRef>
          </c:val>
          <c:smooth val="0"/>
          <c:extLst>
            <c:ext xmlns:c16="http://schemas.microsoft.com/office/drawing/2014/chart" uri="{C3380CC4-5D6E-409C-BE32-E72D297353CC}">
              <c16:uniqueId val="{00000002-4468-49B3-8B87-B698C5E154A7}"/>
            </c:ext>
          </c:extLst>
        </c:ser>
        <c:ser>
          <c:idx val="3"/>
          <c:order val="3"/>
          <c:tx>
            <c:strRef>
              <c:f>'Progress Charts'!$I$24</c:f>
              <c:strCache>
                <c:ptCount val="1"/>
                <c:pt idx="0">
                  <c:v>Total Reductions Required</c:v>
                </c:pt>
              </c:strCache>
            </c:strRef>
          </c:tx>
          <c:spPr>
            <a:ln w="28575" cap="rnd">
              <a:solidFill>
                <a:schemeClr val="tx1"/>
              </a:solidFill>
              <a:prstDash val="sysDash"/>
              <a:round/>
            </a:ln>
            <a:effectLst/>
          </c:spPr>
          <c:marker>
            <c:symbol val="none"/>
          </c:marker>
          <c:val>
            <c:numRef>
              <c:f>'Progress Charts'!$I$25:$I$45</c:f>
              <c:numCache>
                <c:formatCode>#,##0</c:formatCode>
                <c:ptCount val="21"/>
                <c:pt idx="0">
                  <c:v>17710</c:v>
                </c:pt>
                <c:pt idx="1">
                  <c:v>17710</c:v>
                </c:pt>
                <c:pt idx="2">
                  <c:v>17710</c:v>
                </c:pt>
                <c:pt idx="3">
                  <c:v>17710</c:v>
                </c:pt>
                <c:pt idx="4">
                  <c:v>17710</c:v>
                </c:pt>
                <c:pt idx="5">
                  <c:v>17710</c:v>
                </c:pt>
                <c:pt idx="6">
                  <c:v>17710</c:v>
                </c:pt>
                <c:pt idx="7">
                  <c:v>17710</c:v>
                </c:pt>
                <c:pt idx="8">
                  <c:v>17710</c:v>
                </c:pt>
                <c:pt idx="9">
                  <c:v>17710</c:v>
                </c:pt>
                <c:pt idx="10">
                  <c:v>17710</c:v>
                </c:pt>
                <c:pt idx="11">
                  <c:v>17710</c:v>
                </c:pt>
                <c:pt idx="12">
                  <c:v>17710</c:v>
                </c:pt>
                <c:pt idx="13">
                  <c:v>17710</c:v>
                </c:pt>
                <c:pt idx="14">
                  <c:v>17710</c:v>
                </c:pt>
                <c:pt idx="15">
                  <c:v>17710</c:v>
                </c:pt>
                <c:pt idx="16">
                  <c:v>17710</c:v>
                </c:pt>
                <c:pt idx="17">
                  <c:v>17710</c:v>
                </c:pt>
                <c:pt idx="18">
                  <c:v>17710</c:v>
                </c:pt>
                <c:pt idx="19">
                  <c:v>17710</c:v>
                </c:pt>
                <c:pt idx="20">
                  <c:v>17710</c:v>
                </c:pt>
              </c:numCache>
            </c:numRef>
          </c:val>
          <c:smooth val="0"/>
          <c:extLst>
            <c:ext xmlns:c16="http://schemas.microsoft.com/office/drawing/2014/chart" uri="{C3380CC4-5D6E-409C-BE32-E72D297353CC}">
              <c16:uniqueId val="{00000001-2F8E-453D-B2D5-916C5CE714E9}"/>
            </c:ext>
          </c:extLst>
        </c:ser>
        <c:dLbls>
          <c:showLegendKey val="0"/>
          <c:showVal val="0"/>
          <c:showCatName val="0"/>
          <c:showSerName val="0"/>
          <c:showPercent val="0"/>
          <c:showBubbleSize val="0"/>
        </c:dLbls>
        <c:marker val="1"/>
        <c:smooth val="0"/>
        <c:axId val="1163301512"/>
        <c:axId val="1163300856"/>
      </c:lineChart>
      <c:catAx>
        <c:axId val="1163301512"/>
        <c:scaling>
          <c:orientation val="minMax"/>
        </c:scaling>
        <c:delete val="0"/>
        <c:axPos val="b"/>
        <c:title>
          <c:tx>
            <c:rich>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solidFill>
                      <a:sysClr val="windowText" lastClr="000000"/>
                    </a:solidFill>
                  </a:rPr>
                  <a:t>Year</a:t>
                </a:r>
              </a:p>
            </c:rich>
          </c:tx>
          <c:overlay val="0"/>
          <c:spPr>
            <a:noFill/>
            <a:ln>
              <a:noFill/>
            </a:ln>
            <a:effectLst/>
          </c:spPr>
          <c:txPr>
            <a:bodyPr rot="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0856"/>
        <c:crosses val="autoZero"/>
        <c:auto val="1"/>
        <c:lblAlgn val="ctr"/>
        <c:lblOffset val="100"/>
        <c:noMultiLvlLbl val="0"/>
      </c:catAx>
      <c:valAx>
        <c:axId val="1163300856"/>
        <c:scaling>
          <c:orientation val="minMax"/>
          <c:min val="8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a:t>Cumulative TP Reductions (lbs/yr)</a:t>
                </a:r>
              </a:p>
            </c:rich>
          </c:tx>
          <c:overlay val="0"/>
          <c:spPr>
            <a:noFill/>
            <a:ln>
              <a:noFill/>
            </a:ln>
            <a:effectLst/>
          </c:spPr>
          <c:txPr>
            <a:bodyPr rot="-54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16330151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a:defRPr lang="en-US"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581025</xdr:colOff>
      <xdr:row>0</xdr:row>
      <xdr:rowOff>9525</xdr:rowOff>
    </xdr:from>
    <xdr:to>
      <xdr:col>21</xdr:col>
      <xdr:colOff>581025</xdr:colOff>
      <xdr:row>23</xdr:row>
      <xdr:rowOff>9525</xdr:rowOff>
    </xdr:to>
    <xdr:graphicFrame macro="">
      <xdr:nvGraphicFramePr>
        <xdr:cNvPr id="2" name="Chart 1">
          <a:extLst>
            <a:ext uri="{FF2B5EF4-FFF2-40B4-BE49-F238E27FC236}">
              <a16:creationId xmlns:a16="http://schemas.microsoft.com/office/drawing/2014/main" id="{927812CA-7F01-437D-8B50-CA1CF64E7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25</xdr:row>
      <xdr:rowOff>0</xdr:rowOff>
    </xdr:from>
    <xdr:to>
      <xdr:col>22</xdr:col>
      <xdr:colOff>0</xdr:colOff>
      <xdr:row>49</xdr:row>
      <xdr:rowOff>0</xdr:rowOff>
    </xdr:to>
    <xdr:graphicFrame macro="">
      <xdr:nvGraphicFramePr>
        <xdr:cNvPr id="3" name="Chart 2">
          <a:extLst>
            <a:ext uri="{FF2B5EF4-FFF2-40B4-BE49-F238E27FC236}">
              <a16:creationId xmlns:a16="http://schemas.microsoft.com/office/drawing/2014/main" id="{D5DADC01-7900-4CAB-A58B-7CE9AEB56E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0.28125</cdr:x>
      <cdr:y>0.78125</cdr:y>
    </cdr:from>
    <cdr:to>
      <cdr:x>0.40625</cdr:x>
      <cdr:y>0.92291</cdr:y>
    </cdr:to>
    <cdr:sp macro="" textlink="">
      <cdr:nvSpPr>
        <cdr:cNvPr id="2" name="TextBox 1">
          <a:extLst xmlns:a="http://schemas.openxmlformats.org/drawingml/2006/main">
            <a:ext uri="{FF2B5EF4-FFF2-40B4-BE49-F238E27FC236}">
              <a16:creationId xmlns:a16="http://schemas.microsoft.com/office/drawing/2014/main" id="{499F7951-C7F6-40C0-9280-B2A0B5C4C1A7}"/>
            </a:ext>
          </a:extLst>
        </cdr:cNvPr>
        <cdr:cNvSpPr txBox="1"/>
      </cdr:nvSpPr>
      <cdr:spPr>
        <a:xfrm xmlns:a="http://schemas.openxmlformats.org/drawingml/2006/main">
          <a:off x="2057388" y="3571890"/>
          <a:ext cx="914400" cy="64767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en-US" sz="1100" b="0">
              <a:latin typeface="Times New Roman" panose="02020603050405020304" pitchFamily="18" charset="0"/>
              <a:cs typeface="Times New Roman" panose="02020603050405020304" pitchFamily="18" charset="0"/>
            </a:rPr>
            <a:t>5-Year Milestone</a:t>
          </a:r>
        </a:p>
        <a:p xmlns:a="http://schemas.openxmlformats.org/drawingml/2006/main">
          <a:pPr algn="ctr"/>
          <a:r>
            <a:rPr lang="en-US" sz="1100" b="0">
              <a:latin typeface="Times New Roman" panose="02020603050405020304" pitchFamily="18" charset="0"/>
              <a:cs typeface="Times New Roman" panose="02020603050405020304" pitchFamily="18" charset="0"/>
            </a:rPr>
            <a:t>43,828</a:t>
          </a:r>
        </a:p>
      </cdr:txBody>
    </cdr:sp>
  </cdr:relSizeAnchor>
  <cdr:relSizeAnchor xmlns:cdr="http://schemas.openxmlformats.org/drawingml/2006/chartDrawing">
    <cdr:from>
      <cdr:x>0.73698</cdr:x>
      <cdr:y>0.44167</cdr:y>
    </cdr:from>
    <cdr:to>
      <cdr:x>0.94661</cdr:x>
      <cdr:y>0.55208</cdr:y>
    </cdr:to>
    <cdr:sp macro="" textlink="">
      <cdr:nvSpPr>
        <cdr:cNvPr id="3" name="TextBox 2">
          <a:extLst xmlns:a="http://schemas.openxmlformats.org/drawingml/2006/main">
            <a:ext uri="{FF2B5EF4-FFF2-40B4-BE49-F238E27FC236}">
              <a16:creationId xmlns:a16="http://schemas.microsoft.com/office/drawing/2014/main" id="{C5B56CE5-D90A-4494-ACA6-D94420B5FDD9}"/>
            </a:ext>
          </a:extLst>
        </cdr:cNvPr>
        <cdr:cNvSpPr txBox="1"/>
      </cdr:nvSpPr>
      <cdr:spPr>
        <a:xfrm xmlns:a="http://schemas.openxmlformats.org/drawingml/2006/main">
          <a:off x="5391150" y="2019299"/>
          <a:ext cx="1533525" cy="5048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Total</a:t>
          </a:r>
          <a:r>
            <a:rPr lang="en-US" sz="1100" b="0" baseline="0">
              <a:latin typeface="Times New Roman" panose="02020603050405020304" pitchFamily="18" charset="0"/>
              <a:ea typeface="+mn-ea"/>
              <a:cs typeface="Times New Roman" panose="02020603050405020304" pitchFamily="18" charset="0"/>
            </a:rPr>
            <a:t> Reductions Required</a:t>
          </a:r>
          <a:endParaRPr lang="en-US" sz="1100" b="0">
            <a:latin typeface="Times New Roman" panose="02020603050405020304" pitchFamily="18" charset="0"/>
            <a:ea typeface="+mn-ea"/>
            <a:cs typeface="Times New Roman" panose="02020603050405020304" pitchFamily="18" charset="0"/>
          </a:endParaRPr>
        </a:p>
        <a:p xmlns:a="http://schemas.openxmlformats.org/drawingml/2006/main">
          <a:pPr marL="0" indent="0" algn="ctr"/>
          <a:r>
            <a:rPr lang="en-US" sz="1100" b="0">
              <a:latin typeface="Times New Roman" panose="02020603050405020304" pitchFamily="18" charset="0"/>
              <a:ea typeface="+mn-ea"/>
              <a:cs typeface="Times New Roman" panose="02020603050405020304" pitchFamily="18" charset="0"/>
            </a:rPr>
            <a:t>87,656</a:t>
          </a:r>
        </a:p>
      </cdr:txBody>
    </cdr:sp>
  </cdr:relSizeAnchor>
</c:userShapes>
</file>

<file path=xl/drawings/drawing3.xml><?xml version="1.0" encoding="utf-8"?>
<c:userShapes xmlns:c="http://schemas.openxmlformats.org/drawingml/2006/chart">
  <cdr:relSizeAnchor xmlns:cdr="http://schemas.openxmlformats.org/drawingml/2006/chartDrawing">
    <cdr:from>
      <cdr:x>0.70573</cdr:x>
      <cdr:y>0.34792</cdr:y>
    </cdr:from>
    <cdr:to>
      <cdr:x>0.91406</cdr:x>
      <cdr:y>0.47709</cdr:y>
    </cdr:to>
    <cdr:sp macro="" textlink="">
      <cdr:nvSpPr>
        <cdr:cNvPr id="2" name="TextBox 1">
          <a:extLst xmlns:a="http://schemas.openxmlformats.org/drawingml/2006/main">
            <a:ext uri="{FF2B5EF4-FFF2-40B4-BE49-F238E27FC236}">
              <a16:creationId xmlns:a16="http://schemas.microsoft.com/office/drawing/2014/main" id="{74CB649A-C997-420D-A3E7-EA4B602FF7F6}"/>
            </a:ext>
          </a:extLst>
        </cdr:cNvPr>
        <cdr:cNvSpPr txBox="1"/>
      </cdr:nvSpPr>
      <cdr:spPr>
        <a:xfrm xmlns:a="http://schemas.openxmlformats.org/drawingml/2006/main">
          <a:off x="5162520" y="1590675"/>
          <a:ext cx="1524048" cy="59056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latin typeface="Times New Roman" panose="02020603050405020304" pitchFamily="18" charset="0"/>
              <a:cs typeface="Times New Roman" panose="02020603050405020304" pitchFamily="18" charset="0"/>
            </a:rPr>
            <a:t>Total</a:t>
          </a:r>
          <a:r>
            <a:rPr lang="en-US" sz="1100" baseline="0">
              <a:latin typeface="Times New Roman" panose="02020603050405020304" pitchFamily="18" charset="0"/>
              <a:cs typeface="Times New Roman" panose="02020603050405020304" pitchFamily="18" charset="0"/>
            </a:rPr>
            <a:t> Reductions Required</a:t>
          </a:r>
          <a:endParaRPr lang="en-US" sz="1100">
            <a:latin typeface="Times New Roman" panose="02020603050405020304" pitchFamily="18" charset="0"/>
            <a:cs typeface="Times New Roman" panose="02020603050405020304" pitchFamily="18" charset="0"/>
          </a:endParaRPr>
        </a:p>
        <a:p xmlns:a="http://schemas.openxmlformats.org/drawingml/2006/main">
          <a:pPr algn="ctr"/>
          <a:r>
            <a:rPr lang="en-US" sz="1100">
              <a:latin typeface="Times New Roman" panose="02020603050405020304" pitchFamily="18" charset="0"/>
              <a:cs typeface="Times New Roman" panose="02020603050405020304" pitchFamily="18" charset="0"/>
            </a:rPr>
            <a:t>17,710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DeBary\DeBary_LHM_Project%20Collection%202017%20(02-05-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Sanford\Sanford_LHM_Project%20Collection%202017%20R1.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Z:\FileServer%20Data\FDEP%20Middle%20Basin\Lakes%20Harney%20and%20Monroe\BMAP%20and%20Annual%20Reports\2017%20Annual%20Report\2017%20Project%20Collection\Recieved%202017\Seminole%20Co\Seminole%20County_LHM_Project%20Collection%202017revised%20final%20final.xlsx?83BAB357" TargetMode="External"/><Relationship Id="rId1" Type="http://schemas.openxmlformats.org/officeDocument/2006/relationships/externalLinkPath" Target="file:///\\83BAB357\Seminole%20County_LHM_Project%20Collection%202017revised%20fina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n853tr/Desktop/Wekiva%20BMAP/Turnpike%20Enterprise_Wekiva%20Project%20Collection%202017Revis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FileServer%20Data\FDEP%20Middle%20Basin\Lakes%20Harney%20and%20Monroe\BMAP%20and%20Annual%20Reports\2017%20Annual%20Report\2017%20Project%20Collection\Recieved%202017\FDOT%20D5_LHM_STAR%20Project%20Upd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CDB520DC-9A5C-4471-826E-97973105CB90}" userId="Tina Gordon" providerId="None"/>
  <person displayName="Laura Savage" id="{77E38882-5FA2-460B-8598-41B0138D6704}" userId="Laura Savage" providerId="None"/>
  <person displayName="Owens, Jeremiah (P.E.)" id="{6ED55007-F2DB-4186-A6FE-1194AEEECA97}" userId="Owens, Jeremiah (P.E.)" providerId="None"/>
  <person displayName="Tina Gordon" id="{A47CCA55-5BE0-45AC-AA8B-5BB653D4A184}"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894.583888425928" createdVersion="5" refreshedVersion="6" minRefreshableVersion="3" recordCount="112" xr:uid="{00000000-000A-0000-FFFF-FFFF05000000}">
  <cacheSource type="worksheet">
    <worksheetSource ref="B1:Z1048576" sheet="Harney-Monroe All Projects"/>
  </cacheSource>
  <cacheFields count="25">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ount="112">
        <s v="DB-01"/>
        <s v="DB-02"/>
        <s v="DB-03"/>
        <s v="DB-04"/>
        <s v="DB-05"/>
        <s v="DB-06"/>
        <s v="DEL-01"/>
        <s v="DEL-02"/>
        <s v="DEL-03"/>
        <s v="DEL-04"/>
        <s v="DEL-05"/>
        <s v="DEL-06"/>
        <s v="DEL-07"/>
        <s v="DEL-08"/>
        <s v="DEL-09"/>
        <s v="DEL-10"/>
        <s v="DEL-11"/>
        <s v="DEL-12"/>
        <s v="DEL-13"/>
        <s v="DEL-14"/>
        <s v="DL-01"/>
        <s v="FDACS-01"/>
        <s v="FDACS-02"/>
        <s v="FDACS-03"/>
        <s v="FDACS-03b"/>
        <s v="FDACS-03c"/>
        <s v="FDACS-03d"/>
        <s v="FDACS-03e"/>
        <s v="FDOT-01"/>
        <s v="FDOT-02"/>
        <s v="FDOT-03"/>
        <s v="FDOT-04"/>
        <s v="FDOT-05"/>
        <s v="FDOT-06"/>
        <s v="FDOT-07"/>
        <s v="FDOT-08"/>
        <s v="FDOT-09"/>
        <s v="FDOT-10"/>
        <s v="FDOT-11"/>
        <s v="FDOT-12"/>
        <s v="FDOT-13"/>
        <s v="FDOT-14"/>
        <s v="FDOT-14b"/>
        <s v="FDOT-15"/>
        <s v="FDOT-15b"/>
        <s v="FDOT-16"/>
        <s v="FDOT-17"/>
        <s v="FDOT-18"/>
        <s v="FDOT-19"/>
        <s v="FDOT-20"/>
        <s v="FDOT-21"/>
        <s v="FDOT-22"/>
        <s v="FDOT-23"/>
        <s v="FDOT-24"/>
        <s v="FDOT-25"/>
        <s v="FDOT-26"/>
        <s v="FDOT-26b"/>
        <s v="FDOT-27"/>
        <s v="FDOT-28"/>
        <s v="FDOT-29"/>
        <s v="FDOT-30"/>
        <s v="FDOT-31"/>
        <s v="FDOT-32"/>
        <s v="FDOT-33"/>
        <s v="FDOT-34"/>
        <s v="FDOT-35"/>
        <s v="FDOT-36"/>
        <s v="FDOT-37"/>
        <s v="FDOT-38"/>
        <s v="FDOT-39"/>
        <s v="FDOT-40"/>
        <s v="FDOT-41"/>
        <s v="FDOT-42"/>
        <s v="FDOT-43"/>
        <s v="FDOT-44"/>
        <s v="LH-01"/>
        <s v="LH-02"/>
        <s v="LH-03"/>
        <s v="LH-04"/>
        <s v="LM-01"/>
        <s v="LM-02"/>
        <s v="OC-01"/>
        <s v="OC-02"/>
        <s v="S-01"/>
        <s v="S-02"/>
        <s v="S-03"/>
        <s v="S-04"/>
        <s v="S-05"/>
        <s v="S-06"/>
        <s v="S-07"/>
        <s v="S-08"/>
        <s v="SC-01"/>
        <s v="SC-02"/>
        <s v="SC-03"/>
        <s v="SC-04"/>
        <s v="SC-05"/>
        <s v="SC-06"/>
        <s v="SC-07"/>
        <s v="SC-08"/>
        <s v="T-01"/>
        <s v="TP-02"/>
        <s v="VC-01"/>
        <s v="VC-02"/>
        <s v="VC-03"/>
        <s v="VC-04"/>
        <s v="VC-05"/>
        <s v="VC-06"/>
        <s v="VC-07"/>
        <s v="VC-08"/>
        <s v="VC-09"/>
        <s v="VC-10"/>
        <m/>
      </sharedItems>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Underway"/>
        <s v="Planned"/>
        <m/>
      </sharedItems>
    </cacheField>
    <cacheField name="EstimatedCompletionDate" numFmtId="0">
      <sharedItems containsBlank="1" containsMixedTypes="1" containsNumber="1" containsInteger="1" minValue="1997" maxValue="2029"/>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16.645639351853" createdVersion="6" refreshedVersion="6" minRefreshableVersion="3" recordCount="111" xr:uid="{7FE3F786-B8EA-45E6-B05D-82158BAE8C2D}">
  <cacheSource type="worksheet">
    <worksheetSource ref="A1:A112" sheet="Harney-Monroe All Projects"/>
  </cacheSource>
  <cacheFields count="1">
    <cacheField name="ProjID" numFmtId="0">
      <sharedItems containsSemiMixedTypes="0" containsString="0" containsNumber="1" containsInteger="1" minValue="2142" maxValue="525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8.421536805552" createdVersion="6" refreshedVersion="6" minRefreshableVersion="3" recordCount="112" xr:uid="{BF11EB7F-300C-4DEB-9B50-735E944B7470}">
  <cacheSource type="worksheet">
    <worksheetSource ref="A1:Z1048576" sheet="Harney-Monroe All Projects"/>
  </cacheSource>
  <cacheFields count="26">
    <cacheField name="ProjID" numFmtId="0">
      <sharedItems containsString="0" containsBlank="1" containsNumber="1" containsInteger="1" minValue="2142" maxValue="5254"/>
    </cacheField>
    <cacheField name="LeadEntity" numFmtId="0">
      <sharedItems containsBlank="1" count="13">
        <s v="City of DeBary"/>
        <s v="City of Deltona"/>
        <s v="City of DeLand"/>
        <s v="FDACS"/>
        <s v="FDOT District 5"/>
        <s v="City of Lake Helen"/>
        <s v="City of Lake Mary"/>
        <s v="City of Orange City"/>
        <s v="City of Sanford"/>
        <s v="Seminole County"/>
        <s v="Turnpike Enterprise"/>
        <s v="Volusia County"/>
        <m/>
      </sharedItems>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ount="23">
        <s v="Non-contributing Basin"/>
        <s v="Regulations, Ordinances, and Guidelines"/>
        <s v="Education Efforts"/>
        <s v="Monitoring/Data Collection"/>
        <s v="BMP Cleanout"/>
        <s v="Wet Detention Pond"/>
        <s v="On-line Retention BMPs"/>
        <s v="Bioswales"/>
        <s v="Catch Basin Inserts/Inlet Filter Cleanout"/>
        <s v="Stormwater Reuse"/>
        <s v="Natural Wetlands as Filters"/>
        <s v="Reclaimed Water"/>
        <s v="Land Use Change"/>
        <s v="Agricultural BMPs"/>
        <s v="Dry Detention Pond"/>
        <s v="Street Sweeping"/>
        <s v="Fertilizer Cessation"/>
        <s v="Exfiltration Trench"/>
        <s v="Baffle Boxes- Second Generation"/>
        <s v="Baffle Boxes- First Generation (hydrodynamic separator)"/>
        <s v="WWTF Nutrient Reduction"/>
        <m/>
        <s v="On-line Retention BMPs  " u="1"/>
      </sharedItems>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1997" maxValue="2029" count="24">
        <n v="2012"/>
        <s v="N/A"/>
        <n v="2013"/>
        <n v="2019"/>
        <s v="2018"/>
        <n v="2022"/>
        <n v="2024"/>
        <n v="2029"/>
        <n v="2014"/>
        <n v="2015"/>
        <n v="2016"/>
        <n v="2007"/>
        <n v="2008"/>
        <n v="2004"/>
        <n v="2006"/>
        <n v="2021"/>
        <s v="Prior to 2018"/>
        <n v="2020"/>
        <n v="1997"/>
        <s v="2020"/>
        <n v="2009"/>
        <n v="2011"/>
        <m/>
        <n v="2018" u="1"/>
      </sharedItems>
    </cacheField>
    <cacheField name="TNReduction(lbs/yr)" numFmtId="0">
      <sharedItems containsBlank="1" containsMixedTypes="1" containsNumber="1" minValue="0.7" maxValue="15043.1"/>
    </cacheField>
    <cacheField name="TPReduction(lbs/yr)" numFmtId="0">
      <sharedItems containsBlank="1" containsMixedTypes="1" containsNumber="1" minValue="0" maxValue="3993.3"/>
    </cacheField>
    <cacheField name="Location" numFmtId="0">
      <sharedItems containsBlank="1"/>
    </cacheField>
    <cacheField name="AcresTreated" numFmtId="0">
      <sharedItems containsBlank="1" containsMixedTypes="1" containsNumber="1" minValue="0.2" maxValue="14267"/>
    </cacheField>
    <cacheField name="CostEstimate" numFmtId="165">
      <sharedItems containsBlank="1" containsMixedTypes="1" containsNumber="1" containsInteger="1" minValue="3500" maxValue="16000000"/>
    </cacheField>
    <cacheField name="CostAnnualO&amp;M" numFmtId="165">
      <sharedItems containsBlank="1" containsMixedTypes="1" containsNumber="1" containsInteger="1" minValue="2000" maxValue="170544"/>
    </cacheField>
    <cacheField name="FundingSource" numFmtId="0">
      <sharedItems containsBlank="1"/>
    </cacheField>
    <cacheField name="FundingAmount" numFmtId="0">
      <sharedItems containsBlank="1" containsMixedTypes="1" containsNumber="1" containsInteger="1" minValue="5500" maxValue="315000"/>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2" maxValue="2020" count="10">
        <n v="2012"/>
        <n v="2017"/>
        <n v="2019"/>
        <n v="2015"/>
        <n v="2013"/>
        <n v="2014"/>
        <n v="2016"/>
        <n v="2018"/>
        <m/>
        <n v="2020" u="1"/>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9.064"/>
    </cacheField>
    <cacheField name="Longitude" numFmtId="0">
      <sharedItems containsBlank="1" containsMixedTypes="1" containsNumber="1" minValue="-81.363287" maxValue="81.298000000000002"/>
    </cacheField>
    <cacheField name="Start Date" numFmtId="0">
      <sharedItems containsDate="1" containsBlank="1" containsMixedTypes="1" minDate="1900-01-02T18:40:04" maxDate="1900-01-06T02:40:0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x v="0"/>
    <s v="N/A"/>
    <x v="0"/>
    <s v="Non-contributing Basin"/>
    <s v="Non-contributing Basin, not included in the TMDL model."/>
    <s v="Non-contributing Basin"/>
    <x v="0"/>
    <n v="2012"/>
    <n v="6522.5"/>
    <n v="1036.8"/>
    <s v="N/A"/>
    <s v="Not provided"/>
    <s v="N/A"/>
    <s v="N/A"/>
    <s v="City of DeBary"/>
    <s v="N/A"/>
    <s v="N/A"/>
    <s v="Non-structural"/>
    <s v="Underway"/>
    <n v="2012"/>
    <s v="Not provided"/>
    <s v="Harney-Monroe"/>
    <s v="N/A"/>
    <s v="N/A"/>
    <s v="N/A"/>
  </r>
  <r>
    <x v="0"/>
    <s v="N/A"/>
    <x v="1"/>
    <s v="Non-contributing Basin"/>
    <s v="Non-contributing Basin, not included in the TMDL model."/>
    <s v="Non-contributing Basin"/>
    <x v="0"/>
    <n v="2012"/>
    <n v="7039.2"/>
    <n v="1170.2"/>
    <s v="N/A"/>
    <s v="Not provided"/>
    <s v="N/A"/>
    <s v="N/A"/>
    <s v="City of DeBary"/>
    <s v="N/A"/>
    <s v="N/A"/>
    <s v="Non-structural"/>
    <s v="Underway"/>
    <n v="2012"/>
    <s v="Not provided"/>
    <s v="Harney-Monroe"/>
    <s v="N/A"/>
    <s v="N/A"/>
    <s v="N/A"/>
  </r>
  <r>
    <x v="0"/>
    <s v="N/A"/>
    <x v="2"/>
    <s v="Citywide Fertilizer Ordinance"/>
    <s v="Reduction of fertilizer application (Ordinance 04-17)."/>
    <s v="Regulations, Ordinances, and Guidelines"/>
    <x v="0"/>
    <s v="N/A"/>
    <n v="31.724055445256965"/>
    <n v="4.7100770185483452"/>
    <s v="N/A"/>
    <s v="N/A"/>
    <s v="N/A"/>
    <s v="N/A"/>
    <s v="City of DeBary"/>
    <s v="N/A"/>
    <s v="N/A"/>
    <s v="Non-structural"/>
    <s v="Underway"/>
    <n v="2017"/>
    <s v="Copy of the revised ordinance"/>
    <s v="Harney-Monroe"/>
    <s v="N/A"/>
    <s v="N/A"/>
    <s v="Not provided"/>
  </r>
  <r>
    <x v="0"/>
    <s v="N/A"/>
    <x v="3"/>
    <s v="Public Education and Ordinances"/>
    <s v="FYN; Irrigation Ordinance; Pet Waste Ordinance; PSAs, website, brochures, and inspection program for illicit discharges."/>
    <s v="Education Efforts"/>
    <x v="0"/>
    <s v="N/A"/>
    <n v="317.24055445256965"/>
    <n v="47.100770185483455"/>
    <s v="N/A"/>
    <s v="N/A"/>
    <s v="Not provided"/>
    <s v="N/A"/>
    <s v="City of DeBary"/>
    <s v="Not provided"/>
    <s v="N/A"/>
    <s v="Non-structural"/>
    <s v="Underway"/>
    <n v="2017"/>
    <s v="City website link, PDFs"/>
    <s v="Harney-Monroe"/>
    <s v="N/A"/>
    <s v="N/A"/>
    <s v="Not provided"/>
  </r>
  <r>
    <x v="0"/>
    <s v="N/A"/>
    <x v="4"/>
    <s v="Citywide Lake Monitoring Program"/>
    <s v="Quarterly lake monitoring sampling."/>
    <s v="Monitoring/Data Collection"/>
    <x v="0"/>
    <s v="N/A"/>
    <s v="N/A"/>
    <s v="N/A"/>
    <s v="N/A"/>
    <s v="N/A"/>
    <n v="65000"/>
    <s v="N/A"/>
    <s v="City of DeBary Stormwater Assessment Fee"/>
    <n v="65000"/>
    <s v="N/A"/>
    <s v="Non-structural"/>
    <s v="Underway/Ongoing"/>
    <n v="2019"/>
    <s v="N/A"/>
    <s v="Harney-Monroe"/>
    <s v="N/A"/>
    <s v="N/A"/>
    <s v="Not provided"/>
  </r>
  <r>
    <x v="0"/>
    <s v="N/A"/>
    <x v="5"/>
    <s v="BMP Clean Out"/>
    <s v="Clean out of BMPs, an average of 150 cubic yards of material per year collected in the contributing watershed."/>
    <s v="BMP Cleanout"/>
    <x v="0"/>
    <s v="N/A"/>
    <n v="362"/>
    <n v="113"/>
    <s v="N/A"/>
    <s v="N/A"/>
    <n v="3500"/>
    <n v="3500"/>
    <s v="City of DeBary"/>
    <s v="N/A"/>
    <s v="N/A"/>
    <s v="Non-structural"/>
    <s v="Underway/Ongoing"/>
    <n v="2019"/>
    <s v="N/A"/>
    <s v="Harney-Monroe"/>
    <s v="N/A"/>
    <s v="N/A"/>
    <s v="Not provided"/>
  </r>
  <r>
    <x v="1"/>
    <s v="Not provided"/>
    <x v="6"/>
    <s v="McGarity Kirkhill Regional Treatment Facility"/>
    <s v="Retrofit project to treat surface water runoff from a residential area in the city."/>
    <s v="Wet Detention Pond"/>
    <x v="0"/>
    <n v="2012"/>
    <n v="344.6"/>
    <n v="91.8"/>
    <s v="N/A"/>
    <n v="277.2"/>
    <n v="1500000"/>
    <n v="50000"/>
    <s v="Not provided"/>
    <s v="Not provided"/>
    <s v="N/A"/>
    <s v="Structural"/>
    <s v="Completed"/>
    <n v="2012"/>
    <s v="Not provided"/>
    <s v="Harney-Monroe"/>
    <s v="Not provided"/>
    <s v="Not provided"/>
    <s v="Not provided"/>
  </r>
  <r>
    <x v="1"/>
    <s v="Not provided"/>
    <x v="7"/>
    <s v="DRA GC-5"/>
    <s v="Water quality treatment for a residential area."/>
    <s v="On-line Retention BMPs"/>
    <x v="0"/>
    <n v="2012"/>
    <n v="25.5"/>
    <n v="4.3"/>
    <s v="N/A"/>
    <n v="10.5"/>
    <n v="120000"/>
    <n v="6000"/>
    <s v="Not provided"/>
    <s v="Not provided"/>
    <s v="N/A"/>
    <s v="Structural"/>
    <s v="Completed"/>
    <n v="2012"/>
    <s v="Not provided"/>
    <s v="Harney-Monroe"/>
    <s v="Not provided"/>
    <s v="Not provided"/>
    <s v="Not provided"/>
  </r>
  <r>
    <x v="1"/>
    <s v="Not provided"/>
    <x v="8"/>
    <s v="Swales"/>
    <s v="Swales throughout the city."/>
    <s v="Bioswales"/>
    <x v="0"/>
    <n v="2012"/>
    <n v="4820.2"/>
    <n v="728.6"/>
    <s v="N/A"/>
    <n v="2368.6999999999998"/>
    <n v="2000000"/>
    <n v="100000"/>
    <s v="Not provided"/>
    <s v="Not provided"/>
    <s v="N/A"/>
    <s v="Structural"/>
    <s v="Completed"/>
    <n v="2012"/>
    <s v="Not provided"/>
    <s v="Harney-Monroe"/>
    <s v="N/A"/>
    <s v="N/A"/>
    <s v="Not provided"/>
  </r>
  <r>
    <x v="1"/>
    <s v="Not provided"/>
    <x v="9"/>
    <s v="Lake Gleason Control Structure"/>
    <s v="Proposed control structure to increase storage in Lake Gleason."/>
    <s v="Wet Detention Pond"/>
    <x v="0"/>
    <n v="2013"/>
    <n v="672"/>
    <n v="188.4"/>
    <s v="N/A"/>
    <n v="581.6"/>
    <n v="150000"/>
    <n v="3000"/>
    <s v="Not provided"/>
    <s v="Not provided"/>
    <s v="N/A"/>
    <s v="Structural"/>
    <s v="Completed"/>
    <n v="2012"/>
    <s v="Not provided"/>
    <s v="Harney-Monroe"/>
    <s v="Not provided"/>
    <s v="Not provided"/>
    <s v="Not provided"/>
  </r>
  <r>
    <x v="1"/>
    <s v="Not provided"/>
    <x v="10"/>
    <s v="Education Efforts"/>
    <s v="FYN, irrigation ordinance, pet waste ordinance, PSAs, pamphlets, website, illicit discharge program."/>
    <s v="Education Efforts"/>
    <x v="0"/>
    <s v="N/A"/>
    <n v="1270"/>
    <n v="206.4"/>
    <s v="N/A"/>
    <s v="N/A"/>
    <s v="Not provided"/>
    <s v="Not provided"/>
    <s v="Not provided"/>
    <s v="Not provided"/>
    <s v="N/A"/>
    <s v="Non-structural"/>
    <s v="Completed"/>
    <n v="2012"/>
    <s v="Not provided"/>
    <s v="Harney-Monroe"/>
    <s v="N/A"/>
    <s v="N/A"/>
    <s v="Not provided"/>
  </r>
  <r>
    <x v="1"/>
    <s v="Not provided"/>
    <x v="11"/>
    <s v="Catch Basin Maintenance"/>
    <s v="Catch basin cleanout throughout the city."/>
    <s v="Catch Basin Inserts/Inlet Filter Cleanout"/>
    <x v="0"/>
    <s v="N/A"/>
    <n v="19.100000000000001"/>
    <n v="10.4"/>
    <s v="N/A"/>
    <s v="Not provided"/>
    <s v="Not provided"/>
    <s v="Not provided"/>
    <s v="Not provided"/>
    <s v="Not provided"/>
    <s v="N/A"/>
    <s v="Non-structural"/>
    <s v="Completed"/>
    <n v="2012"/>
    <s v="Not provided"/>
    <s v="Harney-Monroe"/>
    <s v="N/A"/>
    <s v="N/A"/>
    <s v="Not provided"/>
  </r>
  <r>
    <x v="1"/>
    <s v="Not provided"/>
    <x v="12"/>
    <s v="Leland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441.01132999580636"/>
    <n v="28.701688460324895"/>
    <s v="N/A"/>
    <s v="N/A"/>
    <n v="2400000"/>
    <n v="20000"/>
    <s v="Deltona/ SJRWMD/ DEP"/>
    <s v="Not provided"/>
    <s v="WW641830"/>
    <s v="Structural"/>
    <s v="Completed"/>
    <n v="2015"/>
    <s v="Not provided"/>
    <s v="Harney-Monroe"/>
    <s v="Not provided"/>
    <s v="Not provided"/>
    <s v="Not provided"/>
  </r>
  <r>
    <x v="1"/>
    <s v="Not provided"/>
    <x v="13"/>
    <s v="Tivoli/Wheeling Stormwater Lift Station"/>
    <s v="Stormwater is pumped into Alexander Avenue Water Resources Facility (AAWRF) for treatment. The AAWRF treats up to 4MGD of surface water and stormwater used to augment the Public Access Reuse (PAR) systems for  Deltona and Volusia County."/>
    <s v="Stormwater Reuse"/>
    <x v="0"/>
    <n v="2019"/>
    <n v="631.49689923668279"/>
    <n v="40.282441957520085"/>
    <s v="N/A"/>
    <s v="Not provided"/>
    <n v="2000000"/>
    <n v="20000"/>
    <s v="Deltona/ SJRWMD/ DEP"/>
    <s v="Not provided"/>
    <s v="WW641830"/>
    <s v="Structural"/>
    <s v="Completed"/>
    <n v="2015"/>
    <s v="Not provided"/>
    <s v="Harney-Monroe"/>
    <s v="N/A"/>
    <s v="N/A"/>
    <n v="2013"/>
  </r>
  <r>
    <x v="1"/>
    <s v="DEP"/>
    <x v="14"/>
    <s v="Brickell Stormwater Management System"/>
    <s v="Treatment of stormwater flow from a major outfall, prior to discharge to Lake Monroe. The existing flow will be diverted through a natural wetland, for filtering, and pond to a set elevation before flowing over a weir to existing outfall."/>
    <s v="Natural Wetlands as Filters"/>
    <x v="1"/>
    <s v="2018"/>
    <n v="186"/>
    <n v="73"/>
    <s v="N/A"/>
    <n v="288"/>
    <n v="600000"/>
    <n v="10000"/>
    <s v="DEP"/>
    <n v="315000"/>
    <s v="NF004"/>
    <s v="Non-structural"/>
    <s v="Planned"/>
    <n v="2017"/>
    <s v="Not provided"/>
    <s v="Harney-Monroe"/>
    <n v="28.868683545435399"/>
    <n v="-81.244312226772294"/>
    <d v="2017-08-22T00:00:00"/>
  </r>
  <r>
    <x v="1"/>
    <s v="SJRWMD/ DEP"/>
    <x v="15"/>
    <s v="Lake Monroe Surface Water Intake (Future)"/>
    <s v="Stormwater is pumped into Alexander Avenue Water Resources Facility (AAWRF) for treatment. The AAWRF treats up to 4MGD of surface water and stormwater used to augment the Public Access Reuse (PAR) systems for  Deltona and Volusia County."/>
    <s v="Reclaimed Water"/>
    <x v="2"/>
    <n v="2022"/>
    <s v="TBD"/>
    <s v="TBD"/>
    <s v="N/A"/>
    <s v="N/A"/>
    <n v="14300000"/>
    <s v="TBD"/>
    <s v="Deltona/ SJRWMD/ DEP"/>
    <s v="TBD"/>
    <s v="TBD"/>
    <s v="Structural"/>
    <s v="Planned"/>
    <n v="2019"/>
    <s v="Not provided"/>
    <s v="Harney-Monroe"/>
    <s v="Not provided"/>
    <s v="Not provided"/>
    <s v="Not provided"/>
  </r>
  <r>
    <x v="1"/>
    <s v="N/A"/>
    <x v="16"/>
    <s v="DRA GC4"/>
    <s v="Water quality treatment for a residential basin within the BMAP area."/>
    <s v="On-line Retention BMPs"/>
    <x v="2"/>
    <n v="2022"/>
    <n v="36.46"/>
    <n v="5.45"/>
    <s v="N/A"/>
    <n v="26.44"/>
    <n v="250000"/>
    <n v="8000"/>
    <s v="Not provided"/>
    <s v="Not provided"/>
    <s v="Not provided"/>
    <s v="Structural"/>
    <s v="Planned"/>
    <n v="2019"/>
    <s v="Not provided"/>
    <s v="Harney-Monroe"/>
    <s v="Not provided"/>
    <s v="Not provided"/>
    <s v="Not provided"/>
  </r>
  <r>
    <x v="1"/>
    <s v="N/A"/>
    <x v="17"/>
    <s v="DRA GC7"/>
    <s v="Water quality treatment for a residential basin within the BMAP area."/>
    <s v="On-line Retention BMPs"/>
    <x v="2"/>
    <n v="2022"/>
    <n v="5.74"/>
    <n v="1.84"/>
    <s v="N/A"/>
    <n v="13.7"/>
    <n v="200000"/>
    <n v="8000"/>
    <s v="Not provided"/>
    <s v="Not provided"/>
    <s v="Not provided"/>
    <s v="Structural"/>
    <s v="Planned"/>
    <n v="2019"/>
    <s v="Not provided"/>
    <s v="Harney-Monroe"/>
    <s v="Not provided"/>
    <s v="Not provided"/>
    <s v="Not provided"/>
  </r>
  <r>
    <x v="1"/>
    <s v="SJRWMD/ DEP"/>
    <x v="18"/>
    <s v="Norwood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4"/>
    <s v="TBD"/>
    <s v="TBD"/>
    <s v="N/A"/>
    <s v="Not provided"/>
    <s v="TBD"/>
    <s v="TBD"/>
    <s v="Deltona"/>
    <s v="TBD"/>
    <s v="N/A"/>
    <s v="Structural"/>
    <s v="Planned"/>
    <n v="2019"/>
    <s v="Not provided"/>
    <s v="Harney-Monroe"/>
    <s v="Not provided"/>
    <s v="Not provided"/>
    <s v="Not provided"/>
  </r>
  <r>
    <x v="1"/>
    <s v="SJRWMD/ DEP"/>
    <x v="19"/>
    <s v="Saxon/I-4 Stormwater Lift Station (Future)"/>
    <s v="Stormwater is pumped into Alexander Avenue Water Resources Facility (AAWRF) for treatment. The AAWRF treats up to 4MGD of surface water and stormwater used to augment the Public Access Reuse (PAR) systems for  Deltona and Volusia County."/>
    <s v="Stormwater Reuse"/>
    <x v="2"/>
    <n v="2029"/>
    <s v="TBD"/>
    <s v="TBD"/>
    <s v="N/A"/>
    <n v="16.23"/>
    <s v="TBD"/>
    <s v="TBD"/>
    <s v="Deltona/ SJRWMD/ DEP"/>
    <s v="TBD"/>
    <s v="N/A"/>
    <s v="Structural"/>
    <s v="Planned"/>
    <n v="2019"/>
    <s v="Not provided"/>
    <s v="Harney-Monroe"/>
    <s v="Not provided"/>
    <s v="Not provided"/>
    <s v="Not provided"/>
  </r>
  <r>
    <x v="2"/>
    <s v="Not provided"/>
    <x v="20"/>
    <s v="Education Efforts"/>
    <s v="FYN Program, irrigation ordinance, fertilizer ordinance, pamphlets, website, illicit discharge program."/>
    <s v="Education Efforts"/>
    <x v="0"/>
    <s v="N/A"/>
    <n v="9.1"/>
    <n v="0.7"/>
    <s v="N/A"/>
    <s v="Not provided"/>
    <s v="Not provided"/>
    <s v="Not provided"/>
    <s v="Not provided"/>
    <s v="Not provided"/>
    <s v="N/A"/>
    <s v="Non-structural"/>
    <s v="Completed"/>
    <n v="2012"/>
    <s v="Not provided"/>
    <s v="Harney-Monroe"/>
    <s v="N/A"/>
    <s v="N/A"/>
    <s v="Not provided"/>
  </r>
  <r>
    <x v="3"/>
    <s v="N/A"/>
    <x v="21"/>
    <s v="Reductions Changes"/>
    <s v="Credit for changes in land use."/>
    <s v="Land Use Change"/>
    <x v="0"/>
    <n v="2012"/>
    <n v="15043.1"/>
    <n v="2953.3"/>
    <s v="N/A"/>
    <s v="N/A"/>
    <s v="N/A"/>
    <s v="N/A"/>
    <s v="N/A"/>
    <s v="N/A"/>
    <s v="N/A"/>
    <s v="Non-structural"/>
    <s v="Underway"/>
    <n v="2012"/>
    <s v="Not provided"/>
    <s v="Harney-Monroe"/>
    <s v="N/A"/>
    <s v="N/A"/>
    <s v="N/A"/>
  </r>
  <r>
    <x v="3"/>
    <s v="N/A"/>
    <x v="22"/>
    <s v="Reductions Area"/>
    <s v="Reductions from non-contributing area."/>
    <s v="Non-contributing Basin"/>
    <x v="0"/>
    <n v="2012"/>
    <n v="1416.6"/>
    <n v="241.4"/>
    <s v="N/A"/>
    <s v="N/A"/>
    <s v="N/A"/>
    <s v="N/A"/>
    <s v="N/A"/>
    <s v="N/A"/>
    <s v="N/A"/>
    <s v="Non-structural"/>
    <s v="Underway"/>
    <n v="2012"/>
    <s v="Not provided"/>
    <s v="Harney-Monroe"/>
    <s v="N/A"/>
    <s v="N/A"/>
    <s v="N/A"/>
  </r>
  <r>
    <x v="3"/>
    <s v="N/A"/>
    <x v="23"/>
    <s v="BMP Enrollment"/>
    <s v="Enrollment and verification of BMPs by agricultural producers."/>
    <s v="Agricultural BMPs"/>
    <x v="0"/>
    <n v="2013"/>
    <n v="4046.8"/>
    <n v="800.2"/>
    <s v="N/A"/>
    <s v="N/A"/>
    <s v="N/A"/>
    <s v="N/A"/>
    <s v="FDACS"/>
    <s v="N/A"/>
    <s v="N/A"/>
    <s v="Non-structural"/>
    <s v="Completed"/>
    <n v="2013"/>
    <s v="Not provided"/>
    <s v="Harney-Monroe"/>
    <s v="N/A"/>
    <s v="N/A"/>
    <s v="N/A"/>
  </r>
  <r>
    <x v="3"/>
    <s v="N/A"/>
    <x v="24"/>
    <s v="BMP Enrollment"/>
    <s v="Enrollment and verification of BMPs by agricultural producers."/>
    <s v="Agricultural BMPs"/>
    <x v="0"/>
    <n v="2014"/>
    <n v="3747.1"/>
    <n v="684.9"/>
    <s v="N/A"/>
    <s v="N/A"/>
    <s v="N/A"/>
    <s v="N/A"/>
    <s v="FDACS"/>
    <s v="N/A"/>
    <s v="N/A"/>
    <s v="Non-structural"/>
    <s v="Completed"/>
    <n v="2014"/>
    <s v="Not provided"/>
    <s v="Harney-Monroe"/>
    <s v="N/A"/>
    <s v="N/A"/>
    <s v="N/A"/>
  </r>
  <r>
    <x v="3"/>
    <s v="N/A"/>
    <x v="25"/>
    <s v="BMP Enrollment"/>
    <s v="Enrollment and verification of BMPs by agricultural producers."/>
    <s v="Agricultural BMPs"/>
    <x v="0"/>
    <n v="2015"/>
    <n v="8252"/>
    <n v="1538.6"/>
    <s v="N/A"/>
    <s v="N/A"/>
    <s v="N/A"/>
    <s v="N/A"/>
    <s v="FDACS"/>
    <s v="N/A"/>
    <s v="N/A"/>
    <s v="Non-structural"/>
    <s v="Completed"/>
    <n v="2015"/>
    <s v="Not provided"/>
    <s v="Harney-Monroe"/>
    <s v="N/A"/>
    <s v="N/A"/>
    <s v="N/A"/>
  </r>
  <r>
    <x v="3"/>
    <s v="N/A"/>
    <x v="26"/>
    <s v="BMP Enrollment"/>
    <s v="Enrollment and verification of BMPs by agricultural producers."/>
    <s v="Agricultural BMPs"/>
    <x v="0"/>
    <n v="2016"/>
    <n v="10723"/>
    <n v="1903"/>
    <s v="N/A"/>
    <s v="N/A"/>
    <s v="N/A"/>
    <s v="N/A"/>
    <s v="FDACS"/>
    <s v="N/A"/>
    <s v="N/A"/>
    <s v="Non-structural"/>
    <s v="Completed"/>
    <n v="2016"/>
    <s v="Not provided"/>
    <s v="Harney-Monroe"/>
    <s v="N/A"/>
    <s v="N/A"/>
    <s v="N/A"/>
  </r>
  <r>
    <x v="3"/>
    <s v="Agricultural Producers"/>
    <x v="27"/>
    <s v="BMP Implementation and Verification"/>
    <s v="Enrollment and verification of BMPs by agricultural producers. Reductions based on HSPF model. Acres treated based on FDACS OAWP December 2019 Enrollment and FSAID VI."/>
    <s v="Agricultural BMPs"/>
    <x v="1"/>
    <s v="N/A"/>
    <n v="6354"/>
    <n v="1054"/>
    <s v="N/A"/>
    <n v="5716"/>
    <s v="TBD"/>
    <s v="TBD"/>
    <s v="FDACS"/>
    <s v="TBD"/>
    <s v="N/A"/>
    <s v="Non-structural"/>
    <s v="Completed"/>
    <n v="2018"/>
    <s v="GIS Provided"/>
    <s v="Harney-Monroe"/>
    <s v="N/A"/>
    <s v="N/A"/>
    <s v="N/A"/>
  </r>
  <r>
    <x v="4"/>
    <s v="N/A"/>
    <x v="28"/>
    <s v="79070-3547-02 (Pond pond 2)"/>
    <s v="Wet detention pond."/>
    <s v="Wet Detention Pond"/>
    <x v="0"/>
    <n v="2007"/>
    <n v="19.7"/>
    <n v="2.2000000000000002"/>
    <s v="N/A"/>
    <n v="21.6"/>
    <s v="Not provided"/>
    <s v="Not provided"/>
    <s v="Florida Legislature"/>
    <s v="Not provided"/>
    <s v="N/A"/>
    <s v="Structural"/>
    <s v="Completed"/>
    <n v="2012"/>
    <s v="Provided during BMAP Development"/>
    <s v="Harney-Monroe"/>
    <n v="29.018822"/>
    <n v="-81.214544000000004"/>
    <n v="2003"/>
  </r>
  <r>
    <x v="4"/>
    <s v="N/A"/>
    <x v="29"/>
    <s v="79070-3547-03 (Pond pond 3)"/>
    <s v="Wet detention pond."/>
    <s v="Wet Detention Pond"/>
    <x v="0"/>
    <n v="2007"/>
    <n v="11.7"/>
    <n v="0.6"/>
    <s v="N/A"/>
    <n v="24.9"/>
    <s v="Not provided"/>
    <s v="Not provided"/>
    <s v="Florida Legislature"/>
    <s v="Not provided"/>
    <s v="N/A"/>
    <s v="Structural"/>
    <s v="Completed"/>
    <n v="2012"/>
    <s v="Provided during BMAP Development"/>
    <s v="Harney-Monroe"/>
    <n v="29.021801"/>
    <n v="-81.204682000000005"/>
    <n v="2003"/>
  </r>
  <r>
    <x v="4"/>
    <s v="N/A"/>
    <x v="30"/>
    <s v="79070-3547-04 (Pond pond 4)"/>
    <s v="Wet detention pond."/>
    <s v="Wet Detention Pond"/>
    <x v="0"/>
    <n v="2007"/>
    <n v="15.8"/>
    <n v="0.8"/>
    <s v="N/A"/>
    <n v="35.200000000000003"/>
    <s v="Not provided"/>
    <s v="Not provided"/>
    <s v="Florida Legislature"/>
    <s v="Not provided"/>
    <s v="N/A"/>
    <s v="Structural"/>
    <s v="Completed"/>
    <n v="2012"/>
    <s v="Provided during BMAP Development"/>
    <s v="Harney-Monroe"/>
    <n v="29.025358000000001"/>
    <n v="-81.193218999999999"/>
    <n v="2003"/>
  </r>
  <r>
    <x v="4"/>
    <s v="N/A"/>
    <x v="31"/>
    <s v="79070-3547-06 (Pond pond 6)"/>
    <s v="Wet detention pond."/>
    <s v="Wet Detention Pond"/>
    <x v="0"/>
    <n v="2007"/>
    <n v="13.6"/>
    <n v="0.7"/>
    <s v="N/A"/>
    <n v="18.8"/>
    <s v="Not provided"/>
    <s v="Not provided"/>
    <s v="Florida Legislature"/>
    <s v="Not provided"/>
    <s v="N/A"/>
    <s v="Structural"/>
    <s v="Completed"/>
    <n v="2012"/>
    <s v="Provided during BMAP Development"/>
    <s v="Harney-Monroe"/>
    <n v="29.028413"/>
    <n v="-81.151553000000007"/>
    <n v="2003"/>
  </r>
  <r>
    <x v="4"/>
    <s v="N/A"/>
    <x v="32"/>
    <s v="79070-3546-03 (Pond pond 9)"/>
    <s v="Wet detention pond."/>
    <s v="Wet Detention Pond"/>
    <x v="0"/>
    <n v="2007"/>
    <n v="13.3"/>
    <n v="8.6"/>
    <s v="N/A"/>
    <n v="13.4"/>
    <s v="Not provided"/>
    <s v="Not provided"/>
    <s v="Florida Legislature"/>
    <s v="Not provided"/>
    <s v="N/A"/>
    <s v="Structural"/>
    <s v="Completed"/>
    <n v="2012"/>
    <s v="Provided during BMAP Development"/>
    <s v="Harney-Monroe"/>
    <n v="29.017060000000001"/>
    <n v="-81.104698999999997"/>
    <n v="2003"/>
  </r>
  <r>
    <x v="4"/>
    <s v="N/A"/>
    <x v="33"/>
    <s v="79070-3546-02 (Pond pond 8)"/>
    <s v="Wet detention pond."/>
    <s v="Wet Detention Pond"/>
    <x v="0"/>
    <n v="2007"/>
    <n v="25.4"/>
    <n v="6.2"/>
    <s v="N/A"/>
    <n v="44.3"/>
    <s v="Not provided"/>
    <s v="Not provided"/>
    <s v="Florida Legislature"/>
    <s v="Not provided"/>
    <s v="N/A"/>
    <s v="Structural"/>
    <s v="Completed"/>
    <n v="2012"/>
    <s v="Provided during BMAP Development"/>
    <s v="Harney-Monroe"/>
    <n v="29.020569999999999"/>
    <n v="-81.111258000000007"/>
    <n v="2003"/>
  </r>
  <r>
    <x v="4"/>
    <s v="N/A"/>
    <x v="34"/>
    <s v="79070-3547-05 (Pond pond 5)"/>
    <s v="Wet detention pond."/>
    <s v="Wet Detention Pond"/>
    <x v="0"/>
    <n v="2007"/>
    <n v="25.2"/>
    <n v="2.7"/>
    <s v="N/A"/>
    <n v="33.1"/>
    <s v="Not provided"/>
    <s v="Not provided"/>
    <s v="Florida Legislature"/>
    <s v="Not provided"/>
    <s v="N/A"/>
    <s v="Structural"/>
    <s v="Completed"/>
    <n v="2012"/>
    <s v="Provided during BMAP Development"/>
    <s v="Harney-Monroe"/>
    <n v="29.029285000000002"/>
    <n v="-81.172009000000003"/>
    <n v="2003"/>
  </r>
  <r>
    <x v="4"/>
    <s v="N/A"/>
    <x v="35"/>
    <s v="79070-3546-01 (Pond pond 7)"/>
    <s v="Wet detention pond."/>
    <s v="Wet Detention Pond"/>
    <x v="0"/>
    <n v="2007"/>
    <n v="19.899999999999999"/>
    <n v="1.4"/>
    <s v="N/A"/>
    <n v="26.9"/>
    <s v="Not provided"/>
    <s v="Not provided"/>
    <s v="Florida Legislature"/>
    <s v="Not provided"/>
    <s v="N/A"/>
    <s v="Structural"/>
    <s v="Completed"/>
    <n v="2012"/>
    <s v="Provided during BMAP Development"/>
    <s v="Harney-Monroe"/>
    <n v="29.026323000000001"/>
    <n v="-81.136229999999998"/>
    <n v="2003"/>
  </r>
  <r>
    <x v="4"/>
    <s v="N/A"/>
    <x v="36"/>
    <s v="79070-3546-04 (Pond pond 10)"/>
    <s v="Wet detention pond."/>
    <s v="Wet Detention Pond"/>
    <x v="0"/>
    <n v="2007"/>
    <n v="3.8"/>
    <n v="2.7"/>
    <s v="N/A"/>
    <n v="3.6"/>
    <s v="Not provided"/>
    <s v="Not provided"/>
    <s v="Florida Legislature"/>
    <s v="Not provided"/>
    <s v="N/A"/>
    <s v="Structural"/>
    <s v="Completed"/>
    <n v="2012"/>
    <s v="Provided during BMAP Development"/>
    <s v="Harney-Monroe"/>
    <n v="29.012141"/>
    <n v="-81.084574000000003"/>
    <n v="2003"/>
  </r>
  <r>
    <x v="4"/>
    <s v="N/A"/>
    <x v="37"/>
    <s v="79110-xxx3-08 (Pond 4)"/>
    <s v="FM 408463-1 wet detention pond."/>
    <s v="Wet Detention Pond"/>
    <x v="0"/>
    <n v="2008"/>
    <n v="8.1999999999999993"/>
    <n v="1.6"/>
    <s v="N/A"/>
    <n v="8.4"/>
    <s v="Not provided"/>
    <s v="Not provided"/>
    <s v="Florida Legislature"/>
    <s v="Not provided"/>
    <s v="N/A"/>
    <s v="Structural"/>
    <s v="Completed"/>
    <n v="2012"/>
    <s v="Provided during BMAP Development"/>
    <s v="Harney-Monroe"/>
    <n v="28.992464999999999"/>
    <n v="-81.245239999999995"/>
    <n v="2010"/>
  </r>
  <r>
    <x v="4"/>
    <s v="N/A"/>
    <x v="38"/>
    <s v="79110-xxx (Pond 5)"/>
    <s v="Wet detention pond."/>
    <s v="Wet Detention Pond"/>
    <x v="0"/>
    <n v="2008"/>
    <n v="27.2"/>
    <n v="6.2"/>
    <s v="N/A"/>
    <n v="22.6"/>
    <s v="Not provided"/>
    <s v="Not provided"/>
    <s v="Florida Legislature"/>
    <s v="Not provided"/>
    <s v="N/A"/>
    <s v="Structural"/>
    <s v="Completed"/>
    <n v="2012"/>
    <s v="Provided during BMAP Development"/>
    <s v="Harney-Monroe"/>
    <n v="28.999310000000001"/>
    <n v="-81.24221"/>
    <n v="2008"/>
  </r>
  <r>
    <x v="4"/>
    <s v="N/A"/>
    <x v="39"/>
    <s v="79110-xxx (Pond 6)"/>
    <s v="Wet detention pond."/>
    <s v="Wet Detention Pond"/>
    <x v="0"/>
    <n v="2008"/>
    <n v="13.6"/>
    <n v="2.8"/>
    <s v="N/A"/>
    <n v="10.7"/>
    <s v="Not provided"/>
    <s v="Not provided"/>
    <s v="Florida Legislature"/>
    <s v="Not provided"/>
    <s v="N/A"/>
    <s v="Structural"/>
    <s v="Completed"/>
    <n v="2012"/>
    <s v="Provided during BMAP Development"/>
    <s v="Harney-Monroe"/>
    <n v="29.002027999999999"/>
    <n v="-81.24248"/>
    <n v="2010"/>
  </r>
  <r>
    <x v="4"/>
    <s v="N/A"/>
    <x v="40"/>
    <s v="79110-xxx (Pond 7)"/>
    <s v="Wet detention pond."/>
    <s v="Wet Detention Pond"/>
    <x v="0"/>
    <n v="2008"/>
    <n v="38.299999999999997"/>
    <n v="7.7"/>
    <s v="N/A"/>
    <n v="30"/>
    <s v="Not provided"/>
    <s v="Not provided"/>
    <s v="Florida Legislature"/>
    <s v="Not provided"/>
    <s v="N/A"/>
    <s v="Structural"/>
    <s v="Completed"/>
    <n v="2012"/>
    <s v="Provided during BMAP Development"/>
    <s v="Harney-Monroe"/>
    <n v="29.010210000000001"/>
    <n v="-81.237979999999993"/>
    <n v="2010"/>
  </r>
  <r>
    <x v="4"/>
    <s v="N/A"/>
    <x v="41"/>
    <s v="79110-xxx4-01 (Pond 1 and 1A)"/>
    <s v="Wet detention pond 1 and 1A."/>
    <s v="Wet Detention Pond"/>
    <x v="0"/>
    <n v="2012"/>
    <n v="54.4"/>
    <n v="11"/>
    <s v="N/A"/>
    <n v="35.6"/>
    <s v="Not provided"/>
    <s v="Not provided"/>
    <s v="Florida Legislature"/>
    <s v="Not provided"/>
    <s v="N/A"/>
    <s v="Structural"/>
    <s v="Completed"/>
    <n v="2012"/>
    <s v="Provided during BMAP Development"/>
    <s v="Harney-Monroe"/>
    <n v="28.967974000000002"/>
    <n v="-81.252251999999999"/>
    <n v="2010"/>
  </r>
  <r>
    <x v="4"/>
    <s v="N/A"/>
    <x v="42"/>
    <s v="79110-xxx4-02 (Pond 1A)"/>
    <s v="Wet detention pond. Credits included in FDOT-14."/>
    <s v="Wet Detention Pond"/>
    <x v="0"/>
    <n v="2012"/>
    <s v="N/A"/>
    <s v="N/A"/>
    <s v="N/A"/>
    <s v="N/A"/>
    <s v="N/A"/>
    <s v="N/A"/>
    <s v="N/A"/>
    <s v="N/A"/>
    <s v="N/A"/>
    <s v="Structural"/>
    <s v="Completed"/>
    <n v="2012"/>
    <s v="Provided during BMAP Development"/>
    <s v="Harney-Monroe"/>
    <s v="N/A"/>
    <s v="N/A"/>
    <n v="2010"/>
  </r>
  <r>
    <x v="4"/>
    <s v="N/A"/>
    <x v="43"/>
    <s v="79110-xxx4-03 (Pond 2 and 2A)"/>
    <s v="Wet detention pond 2 and 2A."/>
    <s v="Wet Detention Pond"/>
    <x v="0"/>
    <n v="2012"/>
    <n v="65.3"/>
    <n v="13.3"/>
    <s v="N/A"/>
    <n v="38.700000000000003"/>
    <s v="Not provided"/>
    <s v="Not provided"/>
    <s v="Florida Legislature"/>
    <s v="Not provided"/>
    <s v="N/A"/>
    <s v="Structural"/>
    <s v="Completed"/>
    <n v="2012"/>
    <s v="Provided during BMAP Development"/>
    <s v="Harney-Monroe"/>
    <n v="29.018519000000001"/>
    <n v="-81.229226999999995"/>
    <n v="2010"/>
  </r>
  <r>
    <x v="4"/>
    <s v="N/A"/>
    <x v="44"/>
    <s v="79110-xxx4-04 (Pond 2A)"/>
    <s v="Dry detention pond. Credits included in FDOT-15."/>
    <s v="Dry Detention Pond"/>
    <x v="0"/>
    <n v="2012"/>
    <s v="N/A"/>
    <s v="N/A"/>
    <s v="N/A"/>
    <s v="N/A"/>
    <s v="N/A"/>
    <s v="N/A"/>
    <s v="N/A"/>
    <s v="N/A"/>
    <s v="N/A"/>
    <s v="Structural"/>
    <s v="Completed"/>
    <n v="2012"/>
    <s v="Provided during BMAP Development"/>
    <s v="Harney-Monroe"/>
    <s v="N/A"/>
    <s v="N/A"/>
    <n v="2010"/>
  </r>
  <r>
    <x v="4"/>
    <s v="N/A"/>
    <x v="45"/>
    <s v="79110-xxx4-05 (Pond 14)"/>
    <s v="Wet detention pond."/>
    <s v="Wet Detention Pond"/>
    <x v="0"/>
    <n v="2012"/>
    <n v="43.8"/>
    <n v="8"/>
    <s v="N/A"/>
    <n v="24.5"/>
    <s v="Not provided"/>
    <s v="Not provided"/>
    <s v="Florida Legislature"/>
    <s v="Not provided"/>
    <s v="N/A"/>
    <s v="Structural"/>
    <s v="Completed"/>
    <n v="2012"/>
    <s v="Provided during BMAP Development"/>
    <s v="Harney-Monroe"/>
    <n v="28.911853000000001"/>
    <n v="-81.270221000000006"/>
    <n v="2010"/>
  </r>
  <r>
    <x v="4"/>
    <s v="N/A"/>
    <x v="46"/>
    <s v="SR 415 - missing from model"/>
    <s v="Grass swales without swale blocks or raised culverts."/>
    <s v="Bioswales"/>
    <x v="0"/>
    <n v="2012"/>
    <n v="90.1"/>
    <n v="28.3"/>
    <s v="N/A"/>
    <n v="133.9"/>
    <s v="Not provided"/>
    <s v="Not provided"/>
    <s v="Florida Legislature"/>
    <s v="Not provided"/>
    <s v="N/A"/>
    <s v="Structural"/>
    <s v="Completed"/>
    <n v="2012"/>
    <s v="Provided during BMAP Development"/>
    <s v="Harney-Monroe"/>
    <n v="28.819697000000001"/>
    <n v="-81.185788000000002"/>
    <s v="Not provided"/>
  </r>
  <r>
    <x v="4"/>
    <s v="N/A"/>
    <x v="47"/>
    <s v="SR 44 - missing from model"/>
    <s v="Grass swales without swale blocks or raised culverts."/>
    <s v="Bioswales"/>
    <x v="0"/>
    <n v="2012"/>
    <n v="34.1"/>
    <n v="10.5"/>
    <s v="N/A"/>
    <n v="43.5"/>
    <s v="Not provided"/>
    <s v="Not provided"/>
    <s v="Florida Legislature"/>
    <s v="Not provided"/>
    <s v="N/A"/>
    <s v="Structural"/>
    <s v="Completed"/>
    <n v="2012"/>
    <s v="Provided during BMAP Development"/>
    <s v="Harney-Monroe"/>
    <n v="29.015217"/>
    <n v="-81.240596999999994"/>
    <s v="Not provided"/>
  </r>
  <r>
    <x v="4"/>
    <s v="N/A"/>
    <x v="48"/>
    <s v="SR 46 - missing from model"/>
    <s v="Grass swales without swale blocks or raised culverts."/>
    <s v="Bioswales"/>
    <x v="0"/>
    <n v="2012"/>
    <n v="32.799999999999997"/>
    <n v="7.4"/>
    <s v="N/A"/>
    <n v="48.2"/>
    <s v="Not provided"/>
    <s v="Not provided"/>
    <s v="Florida Legislature"/>
    <s v="Not provided"/>
    <s v="N/A"/>
    <s v="Structural"/>
    <s v="Completed"/>
    <n v="2012"/>
    <s v="Provided during BMAP Development"/>
    <s v="Harney-Monroe"/>
    <n v="28.811384"/>
    <n v="-81.358754000000005"/>
    <s v="Not provided"/>
  </r>
  <r>
    <x v="4"/>
    <s v="N/A"/>
    <x v="49"/>
    <s v="77160-3404-02 (Pond 1-NW)"/>
    <s v="On-line retention BMPs."/>
    <s v="On-line Retention BMPs"/>
    <x v="0"/>
    <n v="2004"/>
    <n v="94.2"/>
    <n v="13.4"/>
    <s v="N/A"/>
    <n v="25.5"/>
    <s v="Not provided"/>
    <s v="Not provided"/>
    <s v="Florida Legislature"/>
    <s v="Not provided"/>
    <s v="N/A"/>
    <s v="Structural"/>
    <s v="Completed"/>
    <n v="2012"/>
    <s v="Provided during BMAP Development"/>
    <s v="Harney-Monroe"/>
    <n v="28.758368000000001"/>
    <n v="-81.363287"/>
    <n v="2004"/>
  </r>
  <r>
    <x v="4"/>
    <s v="N/A"/>
    <x v="50"/>
    <s v="77160-3404-06 (Pond pond 4-11)"/>
    <s v="Wet detention pond."/>
    <s v="Wet Detention Pond"/>
    <x v="0"/>
    <n v="2004"/>
    <n v="102.5"/>
    <n v="24.4"/>
    <s v="N/A"/>
    <n v="38.5"/>
    <s v="Not provided"/>
    <s v="Not provided"/>
    <s v="Florida Legislature"/>
    <s v="Not provided"/>
    <s v="N/A"/>
    <s v="Structural"/>
    <s v="Completed"/>
    <n v="2012"/>
    <s v="Provided during BMAP Development"/>
    <s v="Harney-Monroe"/>
    <n v="28.822102999999998"/>
    <n v="-81.338250000000002"/>
    <n v="2004"/>
  </r>
  <r>
    <x v="4"/>
    <s v="N/A"/>
    <x v="51"/>
    <s v="77160-3404-05 (Pond pond 4-1)"/>
    <s v="Wet detention pond."/>
    <s v="Wet Detention Pond"/>
    <x v="0"/>
    <n v="2004"/>
    <n v="44.9"/>
    <n v="12.4"/>
    <s v="N/A"/>
    <n v="32.4"/>
    <s v="Not provided"/>
    <s v="Not provided"/>
    <s v="Florida Legislature"/>
    <s v="Not provided"/>
    <s v="N/A"/>
    <s v="Structural"/>
    <s v="Completed"/>
    <n v="2012"/>
    <s v="Provided during BMAP Development"/>
    <s v="Harney-Monroe"/>
    <n v="28.817031"/>
    <n v="-81.333803000000003"/>
    <n v="2004"/>
  </r>
  <r>
    <x v="4"/>
    <s v="N/A"/>
    <x v="52"/>
    <s v="77160-3404-07 (Pond 5)"/>
    <s v="Wet detention pond."/>
    <s v="Wet Detention Pond"/>
    <x v="0"/>
    <n v="2004"/>
    <n v="47.4"/>
    <n v="8.6"/>
    <s v="N/A"/>
    <n v="30.5"/>
    <s v="Not provided"/>
    <s v="Not provided"/>
    <s v="Florida Legislature"/>
    <s v="Not provided"/>
    <s v="N/A"/>
    <s v="Structural"/>
    <s v="Completed"/>
    <n v="2012"/>
    <s v="Provided during BMAP Development"/>
    <s v="Harney-Monroe"/>
    <n v="28.823732"/>
    <n v="-81.328095000000005"/>
    <n v="2004"/>
  </r>
  <r>
    <x v="4"/>
    <s v="N/A"/>
    <x v="53"/>
    <s v="77160 3436 (pond A, A-1)"/>
    <s v="Wet detention pond."/>
    <s v="Bioswales"/>
    <x v="0"/>
    <n v="2012"/>
    <n v="147.5"/>
    <n v="19.8"/>
    <s v="N/A"/>
    <n v="56.5"/>
    <s v="Not provided"/>
    <s v="Not provided"/>
    <s v="Florida Legislature"/>
    <s v="Not provided"/>
    <s v="N/A"/>
    <s v="Structural"/>
    <s v="Completed"/>
    <n v="2012"/>
    <s v="Provided during BMAP Development"/>
    <s v="Harney-Monroe"/>
    <n v="28.831892"/>
    <n v="-81.322642999999999"/>
    <n v="2000"/>
  </r>
  <r>
    <x v="4"/>
    <s v="N/A"/>
    <x v="54"/>
    <s v="77160-3439-01 (Pond 1)"/>
    <s v="Wet detention pond."/>
    <s v="Wet Detention Pond"/>
    <x v="0"/>
    <n v="2006"/>
    <n v="7.4"/>
    <n v="0.7"/>
    <s v="N/A"/>
    <n v="20.3"/>
    <s v="Not provided"/>
    <s v="Not provided"/>
    <s v="Florida Legislature"/>
    <s v="Not provided"/>
    <s v="N/A"/>
    <s v="Structural"/>
    <s v="Completed"/>
    <n v="2012"/>
    <s v="Provided during BMAP Development"/>
    <s v="Harney-Monroe"/>
    <n v="28.783110000000001"/>
    <n v="-81.353210000000004"/>
    <n v="2010"/>
  </r>
  <r>
    <x v="4"/>
    <s v="N/A"/>
    <x v="55"/>
    <s v="FM 242702 79110-3403-04 &amp; 05 (Pond QQ3 &amp; QQ-5)"/>
    <s v="Wet detention pond."/>
    <s v="Wet Detention Pond"/>
    <x v="0"/>
    <n v="2004"/>
    <n v="56.4"/>
    <n v="11.7"/>
    <s v="N/A"/>
    <n v="47.6"/>
    <s v="Not provided"/>
    <s v="Not provided"/>
    <s v="Florida Legislature"/>
    <s v="Not provided"/>
    <s v="N/A"/>
    <s v="Structural"/>
    <s v="Completed"/>
    <n v="2012"/>
    <s v="Provided during BMAP Development"/>
    <s v="Harney-Monroe"/>
    <n v="28.831789000000001"/>
    <n v="-81.325278999999995"/>
    <n v="2001"/>
  </r>
  <r>
    <x v="4"/>
    <s v="N/A"/>
    <x v="56"/>
    <s v="FM 242702 79110-3403-04 &amp; 05 (Pond QQ3 &amp; QQ-5)"/>
    <s v="Wet detention pond. Credits included in FDOT-26."/>
    <s v="Wet Detention Pond"/>
    <x v="0"/>
    <n v="2004"/>
    <s v="N/A"/>
    <s v="N/A"/>
    <s v="N/A"/>
    <s v="N/A"/>
    <s v="N/A"/>
    <s v="N/A"/>
    <s v="N/A"/>
    <s v="N/A"/>
    <s v="N/A"/>
    <s v="Structural"/>
    <s v="Completed"/>
    <n v="2012"/>
    <s v="Provided during BMAP Development"/>
    <s v="Harney-Monroe"/>
    <s v="N/A"/>
    <s v="N/A"/>
    <n v="2001"/>
  </r>
  <r>
    <x v="4"/>
    <s v="N/A"/>
    <x v="57"/>
    <s v="FM 242702 79110-3403-06 (RR-3)"/>
    <s v="Wet detention pond."/>
    <s v="Wet Detention Pond"/>
    <x v="0"/>
    <n v="2004"/>
    <n v="68.099999999999994"/>
    <n v="16.899999999999999"/>
    <s v="N/A"/>
    <n v="53.1"/>
    <s v="Not provided"/>
    <s v="Not provided"/>
    <s v="Florida Legislature"/>
    <s v="Not provided"/>
    <s v="N/A"/>
    <s v="Structural"/>
    <s v="Completed"/>
    <n v="2012"/>
    <s v="Provided during BMAP Development"/>
    <s v="Harney-Monroe"/>
    <n v="28.846799000000001"/>
    <n v="-81.312730000000002"/>
    <n v="2001"/>
  </r>
  <r>
    <x v="4"/>
    <s v="N/A"/>
    <x v="58"/>
    <s v="FM 242702 79110-3403-07 (Pond SS-2)"/>
    <s v="Wet detention pond."/>
    <s v="Wet Detention Pond"/>
    <x v="0"/>
    <n v="2006"/>
    <n v="91.9"/>
    <n v="26.3"/>
    <s v="N/A"/>
    <n v="87.5"/>
    <s v="Not provided"/>
    <s v="Not provided"/>
    <s v="Florida Legislature"/>
    <s v="Not provided"/>
    <s v="N/A"/>
    <s v="Structural"/>
    <s v="Completed"/>
    <n v="2012"/>
    <s v="Provided during BMAP Development"/>
    <s v="Harney-Monroe"/>
    <n v="28.873902000000001"/>
    <n v="-81.284953000000002"/>
    <n v="2001"/>
  </r>
  <r>
    <x v="4"/>
    <s v="N/A"/>
    <x v="59"/>
    <s v="FM  242702 Roadside Swale"/>
    <s v="Grass swales without swale blocks or raised culverts."/>
    <s v="Bioswales"/>
    <x v="0"/>
    <n v="2004"/>
    <n v="93.8"/>
    <n v="13.5"/>
    <s v="N/A"/>
    <n v="35"/>
    <s v="Not provided"/>
    <s v="Not provided"/>
    <s v="Florida Legislature"/>
    <s v="Not provided"/>
    <s v="N/A"/>
    <s v="Structural"/>
    <s v="Completed"/>
    <n v="2012"/>
    <s v="Provided during BMAP Development"/>
    <s v="Harney-Monroe"/>
    <n v="28.85867"/>
    <n v="-81.296009999999995"/>
    <n v="2001"/>
  </r>
  <r>
    <x v="4"/>
    <s v="N/A"/>
    <x v="60"/>
    <s v="FM  242702 Roadside Swale"/>
    <s v="Grass swales without swale blocks or raised culverts."/>
    <s v="Bioswales"/>
    <x v="0"/>
    <n v="2006"/>
    <n v="39.5"/>
    <n v="5.7"/>
    <s v="N/A"/>
    <n v="13.3"/>
    <s v="Not provided"/>
    <s v="Not provided"/>
    <s v="Florida Legislature"/>
    <s v="Not provided"/>
    <s v="N/A"/>
    <s v="Structural"/>
    <s v="Completed"/>
    <n v="2012"/>
    <s v="Provided during BMAP Development"/>
    <s v="Harney-Monroe"/>
    <n v="28.867899999999999"/>
    <n v="-81.286510000000007"/>
    <n v="2001"/>
  </r>
  <r>
    <x v="4"/>
    <s v="N/A"/>
    <x v="61"/>
    <s v="SR 415 - missing from model"/>
    <s v="Grass swales without swale blocks or raised culverts."/>
    <s v="Bioswales"/>
    <x v="0"/>
    <n v="2012"/>
    <n v="39.1"/>
    <n v="8.5"/>
    <s v="N/A"/>
    <n v="65.099999999999994"/>
    <s v="Not provided"/>
    <s v="Not provided"/>
    <s v="Florida Legislature"/>
    <s v="Not provided"/>
    <s v="N/A"/>
    <s v="Structural"/>
    <s v="Completed"/>
    <n v="2012"/>
    <s v="Provided during BMAP Development"/>
    <s v="Harney-Monroe"/>
    <n v="28.864674000000001"/>
    <n v="-81.162205"/>
    <s v="Not provided"/>
  </r>
  <r>
    <x v="4"/>
    <s v="N/A"/>
    <x v="62"/>
    <s v="Education Efforts"/>
    <s v="Education efforts."/>
    <s v="Education Efforts"/>
    <x v="0"/>
    <s v="N/A"/>
    <n v="101.1"/>
    <n v="13.3"/>
    <s v="N/A"/>
    <s v="N/A"/>
    <s v="Not provided"/>
    <s v="Not provided"/>
    <s v="Florida Legislature"/>
    <s v="Not provided"/>
    <s v="N/A"/>
    <s v="Non-structural"/>
    <s v="Completed"/>
    <n v="2012"/>
    <s v="Provided during BMAP Development"/>
    <s v="Harney-Monroe"/>
    <s v="N/A"/>
    <s v="N/A"/>
    <n v="2004"/>
  </r>
  <r>
    <x v="4"/>
    <s v="N/A"/>
    <x v="63"/>
    <s v="Street Sweeping"/>
    <s v="Street sweeping."/>
    <s v="Street Sweeping"/>
    <x v="0"/>
    <s v="N/A"/>
    <n v="410"/>
    <n v="263"/>
    <s v="N/A"/>
    <s v="N/A"/>
    <s v="Not provided"/>
    <s v="Not provided"/>
    <s v="Florida Legislature"/>
    <s v="Not provided"/>
    <s v="N/A"/>
    <s v="Non-structural"/>
    <s v="Completed"/>
    <n v="2012"/>
    <s v="Provided during BMAP Development"/>
    <s v="Harney-Monroe"/>
    <s v="N/A"/>
    <s v="N/A"/>
    <n v="2004"/>
  </r>
  <r>
    <x v="4"/>
    <s v="N/A"/>
    <x v="64"/>
    <s v="Noncontributing Area in DeBary"/>
    <s v="Noncontributing area in DeBary."/>
    <s v="Non-contributing Basin"/>
    <x v="0"/>
    <s v="N/A"/>
    <n v="194.9"/>
    <n v="27.9"/>
    <s v="N/A"/>
    <n v="39.200000000000003"/>
    <s v="Not provided"/>
    <s v="N/A"/>
    <s v="Florida Legislature"/>
    <s v="Not provided"/>
    <s v="N/A"/>
    <s v="Non-structural"/>
    <s v="Underway"/>
    <n v="2012"/>
    <s v="See DEP Model"/>
    <s v="Harney-Monroe"/>
    <s v="N/A"/>
    <s v="N/A"/>
    <s v="N/A"/>
  </r>
  <r>
    <x v="4"/>
    <s v="N/A"/>
    <x v="65"/>
    <s v="Noncontributing Area in Volusia County"/>
    <s v="Noncontributing area in Volusia County."/>
    <s v="Non-contributing Basin"/>
    <x v="0"/>
    <s v="N/A"/>
    <n v="117.6"/>
    <n v="19"/>
    <s v="N/A"/>
    <n v="22.7"/>
    <s v="Not provided"/>
    <s v="N/A"/>
    <s v="Florida Legislature"/>
    <s v="Not provided"/>
    <s v="N/A"/>
    <s v="Non-structural"/>
    <s v="Underway"/>
    <n v="2012"/>
    <s v="See DEP Model"/>
    <s v="Harney-Monroe"/>
    <s v="N/A"/>
    <s v="N/A"/>
    <s v="N/A"/>
  </r>
  <r>
    <x v="4"/>
    <s v="N/A"/>
    <x v="66"/>
    <s v="SR 415 – Pond A (built under 407355-1)"/>
    <s v="Wet detention pond."/>
    <s v="Wet Detention Pond"/>
    <x v="0"/>
    <n v="2016"/>
    <n v="6.8"/>
    <n v="1.5"/>
    <s v="N/A"/>
    <n v="4.3"/>
    <s v="Not provided"/>
    <s v="Not provided"/>
    <s v="Florida Legislature"/>
    <s v="Not provided"/>
    <s v="N/A"/>
    <s v="Structural"/>
    <s v="Underway"/>
    <n v="2012"/>
    <s v="Provided during BMAP Development"/>
    <s v="Harney-Monroe"/>
    <n v="28.798333329999998"/>
    <n v="81.209166670000002"/>
    <n v="2012"/>
  </r>
  <r>
    <x v="4"/>
    <s v="N/A"/>
    <x v="67"/>
    <s v="FM: 407355-3 SR 415 – Pond B"/>
    <s v="Wet detention pond."/>
    <s v="Wet Detention Pond"/>
    <x v="0"/>
    <n v="2016"/>
    <n v="7.9"/>
    <n v="0.8"/>
    <s v="N/A"/>
    <n v="8.5"/>
    <s v="Not provided"/>
    <s v="Not provided"/>
    <s v="Florida Legislature"/>
    <s v="Not provided"/>
    <s v="N/A"/>
    <s v="Structural"/>
    <s v="Underway"/>
    <n v="2012"/>
    <s v="Provided during BMAP Development"/>
    <s v="Harney-Monroe"/>
    <n v="28.797644439999999"/>
    <n v="-81.213611110000002"/>
    <n v="2012"/>
  </r>
  <r>
    <x v="4"/>
    <s v="N/A"/>
    <x v="68"/>
    <s v="SR 415 – Exfiltration Trench"/>
    <s v="Exfilitration trench."/>
    <s v="On-line Retention BMPs"/>
    <x v="0"/>
    <n v="2016"/>
    <n v="11.6"/>
    <n v="0.4"/>
    <s v="N/A"/>
    <n v="22"/>
    <s v="Not provided"/>
    <s v="Not provided"/>
    <s v="Florida Legislature"/>
    <s v="Not provided"/>
    <s v="N/A"/>
    <s v="Structural"/>
    <s v="Underway"/>
    <n v="2012"/>
    <s v="Provided during BMAP Development"/>
    <s v="Harney-Monroe"/>
    <n v="28.80705"/>
    <n v="-81.207499999999996"/>
    <n v="2012"/>
  </r>
  <r>
    <x v="4"/>
    <s v="N/A"/>
    <x v="69"/>
    <s v="FM: 407355-3 SR 415 – Pond H (in database as Pond 1)"/>
    <s v="Wet detention pond."/>
    <s v="Wet Detention Pond"/>
    <x v="0"/>
    <n v="2016"/>
    <n v="10.199999999999999"/>
    <n v="2.4"/>
    <s v="N/A"/>
    <n v="9.9"/>
    <s v="Not provided"/>
    <s v="Not provided"/>
    <s v="Florida Legislature"/>
    <s v="Not provided"/>
    <s v="N/A"/>
    <s v="Structural"/>
    <s v="Underway"/>
    <n v="2012"/>
    <s v="Provided during BMAP Development"/>
    <s v="Harney-Monroe"/>
    <n v="28.816800000000001"/>
    <n v="-81.185833329999994"/>
    <n v="2012"/>
  </r>
  <r>
    <x v="4"/>
    <s v="N/A"/>
    <x v="70"/>
    <s v="FM: 240216-2 SR 46 – Pond 1 (possibly modified and built by others)"/>
    <s v="Wet detention pond."/>
    <s v="Wet Detention Pond"/>
    <x v="1"/>
    <n v="2019"/>
    <n v="25.8"/>
    <n v="6.3"/>
    <s v="N/A"/>
    <n v="18"/>
    <s v="Not provided"/>
    <s v="Not provided"/>
    <s v="Florida Legislature"/>
    <s v="Not provided"/>
    <s v="N/A"/>
    <s v="Structural"/>
    <s v="Not Started (funded for 2018)"/>
    <n v="2012"/>
    <s v="Provided during BMAP Development"/>
    <s v="Harney-Monroe"/>
    <n v="28.78944722"/>
    <n v="-81.246944439999993"/>
    <n v="2012"/>
  </r>
  <r>
    <x v="4"/>
    <s v="N/A"/>
    <x v="71"/>
    <s v="Fertilizer Cessation"/>
    <s v="Elimination of fertilizer use along state highway system.  Removal of TN &amp; TP loading."/>
    <s v="Fertilizer Cessation"/>
    <x v="0"/>
    <n v="2016"/>
    <n v="712"/>
    <n v="0"/>
    <s v="N/A"/>
    <n v="278.38"/>
    <s v="Not provided"/>
    <s v="N/A"/>
    <s v="Florida Legislature"/>
    <s v="Not provided"/>
    <s v="N/A"/>
    <s v="Non-structural"/>
    <s v="Completed"/>
    <n v="2016"/>
    <s v="Provided during BMAP Development"/>
    <s v="Harney-Monroe"/>
    <s v="N/A"/>
    <s v="N/A"/>
    <n v="2012"/>
  </r>
  <r>
    <x v="4"/>
    <s v="N/A"/>
    <x v="72"/>
    <s v="FM: 408464 SR 400 Widening (from SR 44 to East of I-95)"/>
    <s v="Basin B Pond B."/>
    <s v="Wet Detention Pond"/>
    <x v="0"/>
    <n v="2016"/>
    <n v="51.8"/>
    <n v="1.1000000000000001"/>
    <s v="N/A"/>
    <n v="15.74"/>
    <s v="Not provided"/>
    <s v="Not provided"/>
    <s v="Florida Legislature"/>
    <s v="Not provided"/>
    <s v="N/A"/>
    <s v="Structural"/>
    <s v="Completed"/>
    <n v="2016"/>
    <s v="Provided during BMAP Development"/>
    <s v="Harney-Monroe"/>
    <n v="29.036000000000001"/>
    <n v="-81.212999999999994"/>
    <n v="2012"/>
  </r>
  <r>
    <x v="4"/>
    <s v="N/A"/>
    <x v="73"/>
    <s v="FM: 408464 SR 400 Widening (from SR 44 to East of I-95)"/>
    <s v="Basin E Pond E."/>
    <s v="Wet Detention Pond"/>
    <x v="0"/>
    <n v="2016"/>
    <n v="59.1"/>
    <n v="1.4"/>
    <s v="N/A"/>
    <n v="15.88"/>
    <s v="Not provided"/>
    <s v="Not provided"/>
    <s v="Florida Legislature"/>
    <s v="Not provided"/>
    <s v="N/A"/>
    <s v="Structural"/>
    <s v="Completed"/>
    <n v="2016"/>
    <s v="Provided during BMAP Development"/>
    <s v="Harney-Monroe"/>
    <n v="29.064"/>
    <n v="-81.186999999999998"/>
    <n v="2012"/>
  </r>
  <r>
    <x v="4"/>
    <s v="N/A"/>
    <x v="74"/>
    <s v="FM: 240200-3-52-01"/>
    <s v="SR 46 (Wekiva Parkway) from Orange Blvd. to N. Oregon St./Wayside Dr."/>
    <s v="Wet Detention Pond"/>
    <x v="1"/>
    <n v="2021"/>
    <n v="17.600000000000001"/>
    <n v="6.6"/>
    <s v="N/A"/>
    <n v="18.68"/>
    <s v="Not provided"/>
    <s v="Not provided"/>
    <s v="Florida Legislature"/>
    <s v="Not provided"/>
    <s v="N/A"/>
    <s v="Structural"/>
    <s v="Underway"/>
    <n v="2019"/>
    <s v="Provided in 2019 project collection"/>
    <s v="Harney-Monroe"/>
    <n v="28.808909"/>
    <n v="-81.346625000000003"/>
    <s v="Not provided"/>
  </r>
  <r>
    <x v="5"/>
    <s v="Not provided"/>
    <x v="75"/>
    <s v="Education Efforts"/>
    <s v="Irrigation ordinance, pet waste ordinance, pamphlets, website."/>
    <s v="Education Efforts"/>
    <x v="0"/>
    <s v="N/A"/>
    <n v="30.8"/>
    <n v="4.5"/>
    <s v="N/A"/>
    <s v="N/A"/>
    <s v="Not provided"/>
    <s v="Not provided"/>
    <s v="Not provided"/>
    <s v="Not provided"/>
    <s v="N/A"/>
    <s v="Non-structural"/>
    <s v="Completed"/>
    <n v="2012"/>
    <s v="Not provided"/>
    <s v="Harney-Monroe"/>
    <s v="N/A"/>
    <s v="N/A"/>
    <s v="Not provided"/>
  </r>
  <r>
    <x v="5"/>
    <s v="Volusia County"/>
    <x v="76"/>
    <s v="Main Street Exfiltration"/>
    <s v="Retrofit project to treat runoff from the Main Street drainage basin prior to discharging to Lake Helen."/>
    <s v="Exfiltration Trench"/>
    <x v="0"/>
    <s v="Prior to 2018"/>
    <s v="Not provided"/>
    <s v="Not provided"/>
    <s v="N/A"/>
    <n v="5.7"/>
    <s v="Not provided"/>
    <s v="Not provided"/>
    <s v="Not provided"/>
    <s v="Not provided"/>
    <s v="N/A"/>
    <s v="Structural"/>
    <s v="Completed"/>
    <n v="2018"/>
    <s v="Not provided"/>
    <s v="Harney-Monroe"/>
    <s v="Not provided"/>
    <s v="Not provided"/>
    <s v="Not provided"/>
  </r>
  <r>
    <x v="5"/>
    <s v="Volusia County"/>
    <x v="77"/>
    <s v="Connecticut Avenue Exfiltration"/>
    <s v="Retrofit project to treat runoff from the Connecticut Avenue drainage basin prior to discharging to Lake Helen."/>
    <s v="Exfiltration Trench"/>
    <x v="0"/>
    <s v="Prior to 2018"/>
    <s v="Not provided"/>
    <s v="Not provided"/>
    <s v="N/A"/>
    <n v="3.2"/>
    <s v="Not provided"/>
    <s v="Not provided"/>
    <s v="Not provided"/>
    <s v="Not provided"/>
    <s v="N/A"/>
    <s v="Structural"/>
    <s v="Completed"/>
    <n v="2018"/>
    <s v="Not provided"/>
    <s v="Harney-Monroe"/>
    <s v="Not provided"/>
    <s v="Not provided"/>
    <s v="Not provided"/>
  </r>
  <r>
    <x v="5"/>
    <s v="Volusia County"/>
    <x v="78"/>
    <s v="Tangerine Avenue Bioswale"/>
    <s v="Retrofit project to treat runoff from the Tangerine drainage basin prior to discharging to Lake Helen."/>
    <s v="Bioswales"/>
    <x v="1"/>
    <n v="2020"/>
    <s v="TBD"/>
    <s v="TBD"/>
    <s v="N/A"/>
    <n v="1.5"/>
    <n v="40000"/>
    <n v="3000"/>
    <s v="City of Lake Helen"/>
    <s v="Not provided"/>
    <s v="N/A"/>
    <s v="Structural"/>
    <s v="Underway"/>
    <n v="2018"/>
    <s v="Not provided"/>
    <s v="Harney-Monroe"/>
    <s v="Not provided"/>
    <s v="Not provided"/>
    <s v="Not provided"/>
  </r>
  <r>
    <x v="6"/>
    <s v="Seminole County"/>
    <x v="79"/>
    <s v="Education Efforts"/>
    <s v="FYN, landscape ordinance, irrigation ordinance, pet waste ordinance, PSAs, pamphlets, website, illicit discharge program."/>
    <s v="Education Efforts"/>
    <x v="0"/>
    <s v="N/A"/>
    <n v="361.5"/>
    <n v="52.2"/>
    <s v="N/A"/>
    <s v="N/A"/>
    <s v="N/A"/>
    <n v="5500"/>
    <s v="City of Lake Mary Stormwater Fund"/>
    <n v="5500"/>
    <s v="N/A"/>
    <s v="Non-structural"/>
    <s v="Completed"/>
    <n v="2012"/>
    <s v="Not provided"/>
    <s v="Harney-Monroe"/>
    <s v="N/A"/>
    <s v="N/A"/>
    <s v="10/2012"/>
  </r>
  <r>
    <x v="6"/>
    <s v="N/A"/>
    <x v="80"/>
    <s v="Street Sweeping"/>
    <s v="Sweeping of 53.58 curb miles per year."/>
    <s v="Street Sweeping"/>
    <x v="0"/>
    <s v="N/A"/>
    <n v="9.6"/>
    <n v="6.4"/>
    <s v="N/A"/>
    <s v="N/A"/>
    <s v="N/A"/>
    <n v="13000"/>
    <s v="City of Lake Mary Stormwater Fund"/>
    <n v="13000"/>
    <s v="N/A"/>
    <s v="Non-structural"/>
    <s v="Completed"/>
    <n v="2012"/>
    <s v="Not provided"/>
    <s v="Harney-Monroe"/>
    <s v="N/A"/>
    <s v="N/A"/>
    <s v="10/2012"/>
  </r>
  <r>
    <x v="7"/>
    <s v="N/A"/>
    <x v="81"/>
    <s v="Education Efforts"/>
    <s v="Irrigation ordinance, pamphlets, website, illicit discharge program."/>
    <s v="Education Efforts"/>
    <x v="0"/>
    <s v="N/A"/>
    <n v="6"/>
    <n v="1"/>
    <s v="N/A"/>
    <s v="N/A"/>
    <s v="Not provided"/>
    <s v="Not provided"/>
    <s v="Not provided"/>
    <s v="Not provided"/>
    <s v="N/A"/>
    <s v="Non-structural"/>
    <s v="Completed"/>
    <n v="2012"/>
    <s v="Not provided"/>
    <s v="Harney-Monroe"/>
    <s v="N/A"/>
    <s v="N/A"/>
    <s v="Not provided"/>
  </r>
  <r>
    <x v="7"/>
    <s v="N/A"/>
    <x v="82"/>
    <s v="Stormwater Inlet Cleaning and Maintenance"/>
    <s v="Municipal operation pollution prevention and good housekeeping which occurs annually."/>
    <s v="BMP Cleanout"/>
    <x v="0"/>
    <s v="N/A"/>
    <n v="7"/>
    <n v="3"/>
    <s v="N/A"/>
    <s v="N/A"/>
    <n v="20000"/>
    <n v="18687"/>
    <s v="Orange City"/>
    <n v="18687"/>
    <s v="N/A"/>
    <s v="Non-structural"/>
    <s v="Completed"/>
    <n v="2019"/>
    <s v="N/A"/>
    <s v="Harney-Monroe"/>
    <s v="N/A"/>
    <s v="N/A"/>
    <s v="Not provided"/>
  </r>
  <r>
    <x v="8"/>
    <s v="DEP/ HUD"/>
    <x v="83"/>
    <s v="Cloud Branch Phase I"/>
    <s v="Drainage/water quality improvements."/>
    <s v="Wet Detention Pond"/>
    <x v="0"/>
    <n v="2007"/>
    <n v="647.29999999999995"/>
    <n v="173.9"/>
    <s v="N/A"/>
    <n v="187"/>
    <n v="3491375"/>
    <s v="Not provided"/>
    <s v="City/ Stormwater Utility/ DEP SRF"/>
    <s v="Not provided"/>
    <s v="Not provided"/>
    <s v="Structural"/>
    <s v="Completed"/>
    <n v="2012"/>
    <s v="Previously Provided"/>
    <s v="Harney-Monroe"/>
    <n v="28.799714999999999"/>
    <n v="-81.277439999999999"/>
    <s v="Not provided"/>
  </r>
  <r>
    <x v="8"/>
    <s v="DEP"/>
    <x v="84"/>
    <s v="Cloud Branch Phase II"/>
    <s v="Drainage/water quality improvements."/>
    <s v="Wet Detention Pond"/>
    <x v="0"/>
    <n v="2007"/>
    <n v="1390.1"/>
    <n v="405.6"/>
    <s v="N/A"/>
    <n v="379.7"/>
    <n v="3072693"/>
    <s v="Not provided"/>
    <s v="City/ Stormwater Utility/ DEP SRF"/>
    <s v="Not provided"/>
    <s v="Not provided"/>
    <s v="Structural"/>
    <s v="Completed"/>
    <n v="2012"/>
    <s v="Previously Provided"/>
    <s v="Harney-Monroe"/>
    <n v="28.803953"/>
    <n v="-81.278460999999993"/>
    <s v="Not provided"/>
  </r>
  <r>
    <x v="8"/>
    <s v="N/A"/>
    <x v="85"/>
    <s v="Street Sweeping"/>
    <s v="Street sweeping throughout the city."/>
    <s v="Street Sweeping"/>
    <x v="0"/>
    <s v="N/A"/>
    <n v="8866.5"/>
    <n v="3993.3"/>
    <s v="N/A"/>
    <s v="N/A"/>
    <s v="N/A"/>
    <n v="170544"/>
    <s v="City/ Stormwater Utility"/>
    <s v="N/A"/>
    <s v="N/A"/>
    <s v="Non-structural"/>
    <s v="Ongoing"/>
    <n v="2012"/>
    <s v="Not provided"/>
    <s v="Harney-Monroe"/>
    <s v="N/A"/>
    <s v="N/A"/>
    <s v="Not provided"/>
  </r>
  <r>
    <x v="8"/>
    <s v="Seminole County"/>
    <x v="86"/>
    <s v="Education Efforts"/>
    <s v="FYN, landscaping ordinance, irrigation ordinance, PSAs, pamphlets, website, illicit discharge program."/>
    <s v="Education Efforts"/>
    <x v="0"/>
    <s v="N/A"/>
    <n v="2069.9"/>
    <n v="324.5"/>
    <s v="N/A"/>
    <s v="N/A"/>
    <s v="N/A"/>
    <n v="2000"/>
    <s v="City/ Stormwater Utility"/>
    <s v="N/A"/>
    <s v="N/A"/>
    <s v="Non-structural"/>
    <s v="Ongoing"/>
    <n v="2012"/>
    <s v="Not provided"/>
    <s v="Harney-Monroe"/>
    <s v="N/A"/>
    <s v="N/A"/>
    <s v="Not provided"/>
  </r>
  <r>
    <x v="8"/>
    <s v="N/A"/>
    <x v="87"/>
    <s v="Sanford Avenue Baffle Box"/>
    <s v="2nd generation baffle box."/>
    <s v="Baffle Boxes- Second Generation"/>
    <x v="0"/>
    <n v="2015"/>
    <n v="5.5"/>
    <n v="0.7"/>
    <s v="N/A"/>
    <s v="N/A"/>
    <n v="2400000"/>
    <s v="Not provided"/>
    <s v="City/ Storwmater Utility/ Community Redevelopment Agency (CRA)"/>
    <s v="Not provided"/>
    <s v="N/A"/>
    <s v="Structural"/>
    <s v="Completed"/>
    <n v="2014"/>
    <s v="KMZ"/>
    <s v="Harney-Monroe"/>
    <n v="28.810718000000001"/>
    <n v="-81.264882999999998"/>
    <s v="Not provided"/>
  </r>
  <r>
    <x v="8"/>
    <s v="DEP"/>
    <x v="88"/>
    <s v="Mill Creek Wet Detention Pond"/>
    <s v="Wet detention pond."/>
    <s v="Wet Detention Pond"/>
    <x v="0"/>
    <n v="2004"/>
    <n v="1465.6"/>
    <n v="433.8"/>
    <s v="N/A"/>
    <n v="412.1"/>
    <n v="2085959"/>
    <s v="Not provided"/>
    <s v="City/ Stormwater Utility/ DEP SRF"/>
    <s v="Not provided"/>
    <s v="Not provided"/>
    <s v="Structural"/>
    <s v="Completed"/>
    <n v="2014"/>
    <s v="Previously Provided"/>
    <s v="Harney-Monroe"/>
    <n v="28.793465999999999"/>
    <n v="-81.286377000000002"/>
    <s v="Not provided"/>
  </r>
  <r>
    <x v="8"/>
    <s v="HUD"/>
    <x v="89"/>
    <s v="Baffle Boxes on 2nd St."/>
    <s v="1st generation baffle boxes."/>
    <s v="Baffle Boxes- First Generation (hydrodynamic separator)"/>
    <x v="0"/>
    <n v="1997"/>
    <n v="9"/>
    <n v="6.7"/>
    <s v="N/A"/>
    <n v="200.1"/>
    <n v="1891082"/>
    <s v="Not provided"/>
    <s v="City/ Stormwater Utility/ DEP SRF/ Community Development Block Grant (CDBG)"/>
    <s v="Not provided"/>
    <s v="Not provided"/>
    <s v="Structural"/>
    <s v="Completed"/>
    <n v="2014"/>
    <s v="Previously Provided"/>
    <s v="Harney-Monroe"/>
    <n v="28.810824"/>
    <n v="-81.266910999999993"/>
    <s v="Not provided"/>
  </r>
  <r>
    <x v="8"/>
    <s v="DEP"/>
    <x v="90"/>
    <s v="WWTP Reclaimed Water Nutrient Reduction"/>
    <s v="Upgrade to WWTP treatment process that will reduce the concentration of TN from 20mg/L to 4 mg/L and TP from 4mg/L to 1 mg/L in the reclaimed water; 0.376 MGD to Lake Monroe directly."/>
    <s v="WWTF Nutrient Reduction"/>
    <x v="1"/>
    <n v="2019"/>
    <n v="9992.1059999999998"/>
    <n v="749.55600000000004"/>
    <s v="N/A"/>
    <s v="Not provided"/>
    <n v="16000000"/>
    <n v="100000"/>
    <s v="City/ DEP SRF"/>
    <s v="Not provided"/>
    <s v="Not provided"/>
    <s v="Structural"/>
    <s v="Planned &amp; Funded"/>
    <n v="2017"/>
    <s v="N/A"/>
    <s v="Harney-Monroe"/>
    <n v="28.815211999999999"/>
    <n v="-81.283153999999996"/>
    <n v="2017"/>
  </r>
  <r>
    <x v="9"/>
    <s v="Not provided"/>
    <x v="91"/>
    <s v="Club II RSF"/>
    <s v="RSF to collect and treat stormwater runoff."/>
    <s v="Wet Detention Pond"/>
    <x v="0"/>
    <n v="2007"/>
    <n v="1333.3"/>
    <n v="395.6"/>
    <s v="N/A"/>
    <n v="422.7"/>
    <n v="2334682"/>
    <n v="20095"/>
    <s v="Not provided"/>
    <s v="Not provided"/>
    <s v="N/A"/>
    <s v="Structural"/>
    <s v="Completed"/>
    <n v="2012"/>
    <s v="Not provided"/>
    <s v="Harney-Monroe"/>
    <s v="Not provided"/>
    <s v="Not provided"/>
    <s v="Not provided"/>
  </r>
  <r>
    <x v="9"/>
    <s v="Not provided"/>
    <x v="92"/>
    <s v="Midway RSF"/>
    <s v="RSF to collect and treat stormwater runoff."/>
    <s v="Wet Detention Pond"/>
    <x v="0"/>
    <n v="2009"/>
    <n v="408.4"/>
    <n v="118.4"/>
    <s v="N/A"/>
    <n v="121.8"/>
    <n v="2163151"/>
    <n v="26662"/>
    <s v="Not provided"/>
    <s v="Not provided"/>
    <s v="N/A"/>
    <s v="Structural"/>
    <s v="Completed"/>
    <n v="2012"/>
    <s v="Not provided"/>
    <s v="Harney-Monroe"/>
    <s v="Not provided"/>
    <s v="Not provided"/>
    <s v="Not provided"/>
  </r>
  <r>
    <x v="9"/>
    <s v="Not provided"/>
    <x v="93"/>
    <s v="Elder RSF"/>
    <s v="RSF to collect and treat stormwater runoff."/>
    <s v="Wet Detention Pond"/>
    <x v="0"/>
    <n v="2007"/>
    <n v="519.20000000000005"/>
    <n v="134.4"/>
    <s v="N/A"/>
    <n v="229.7"/>
    <n v="3884496"/>
    <n v="19251"/>
    <s v="Not provided"/>
    <s v="Not provided"/>
    <s v="N/A"/>
    <s v="Structural"/>
    <s v="Completed"/>
    <n v="2012"/>
    <s v="Not provided"/>
    <s v="Harney-Monroe"/>
    <s v="Not provided"/>
    <s v="Not provided"/>
    <s v="Not provided"/>
  </r>
  <r>
    <x v="9"/>
    <s v="Not provided"/>
    <x v="94"/>
    <s v="Lockhart RSF"/>
    <s v="RSF to collect and treat stormwater runoff."/>
    <s v="Wet Detention Pond"/>
    <x v="0"/>
    <n v="2007"/>
    <n v="3201.1"/>
    <n v="840.1"/>
    <s v="N/A"/>
    <n v="2757"/>
    <n v="3504755"/>
    <s v="Not provided"/>
    <s v="Not provided"/>
    <s v="Not provided"/>
    <s v="N/A"/>
    <s v="Structural"/>
    <s v="Completed"/>
    <n v="2012"/>
    <s v="Not provided"/>
    <s v="Harney-Monroe"/>
    <s v="Not provided"/>
    <s v="Not provided"/>
    <s v="Not provided"/>
  </r>
  <r>
    <x v="9"/>
    <s v="Not provided"/>
    <x v="95"/>
    <s v="Street Sweeping"/>
    <s v="Street sweeping throughout the county."/>
    <s v="Street Sweeping"/>
    <x v="0"/>
    <s v="N/A"/>
    <n v="300"/>
    <n v="135.1"/>
    <s v="N/A"/>
    <s v="N/A"/>
    <s v="Not provided"/>
    <s v="Not provided"/>
    <s v="Not provided"/>
    <s v="Not provided"/>
    <s v="N/A"/>
    <s v="Non-structural"/>
    <s v="Completed"/>
    <n v="2012"/>
    <s v="Not provided"/>
    <s v="Harney-Monroe"/>
    <s v="N/A"/>
    <s v="N/A"/>
    <s v="Not provided"/>
  </r>
  <r>
    <x v="9"/>
    <s v="Not provided"/>
    <x v="96"/>
    <s v="Education Efforts"/>
    <s v="FYN, landscaping ordinance, irrigation ordinance, pet waste ordinance, PSAs, pamphlets, website, illicit discharge program."/>
    <s v="Education Efforts"/>
    <x v="0"/>
    <s v="N/A"/>
    <n v="1875.8"/>
    <n v="282.3"/>
    <s v="N/A"/>
    <s v="N/A"/>
    <s v="Not provided"/>
    <s v="Not provided"/>
    <s v="Not provided"/>
    <s v="Not provided"/>
    <s v="N/A"/>
    <s v="Non-structural"/>
    <s v="Completed"/>
    <n v="2012"/>
    <s v="Not provided"/>
    <s v="Harney-Monroe"/>
    <s v="N/A"/>
    <s v="N/A"/>
    <s v="Not provided"/>
  </r>
  <r>
    <x v="9"/>
    <s v="Altamonte/ Casselberry/ Lake Mary/ Longwood/ Oviedo"/>
    <x v="97"/>
    <s v="Seminole County Fertilizer Ordinance"/>
    <s v="Reduction of Nitrogen and Phosporus sources, through public education and restrtictions on usage."/>
    <s v="Regulations, Ordinances, and Guidelines"/>
    <x v="2"/>
    <s v="N/A"/>
    <s v="TBD"/>
    <s v="N/A"/>
    <s v="N/A"/>
    <n v="14267"/>
    <n v="150000"/>
    <n v="65000"/>
    <s v="Ad valorem taxes/ FFL cost shares"/>
    <s v="City - $28,000/ County - $37,000"/>
    <s v="NF034"/>
    <s v="Non-structural"/>
    <s v="Completed"/>
    <n v="2017"/>
    <s v="Adopted ordinance, leaching calculations"/>
    <s v="Harney-Monroe"/>
    <s v="N/A"/>
    <s v="N/A"/>
    <d v="2018-10-01T00:00:00"/>
  </r>
  <r>
    <x v="9"/>
    <s v="Not provided"/>
    <x v="98"/>
    <s v="Midway Phase II, Ditch Diversion"/>
    <s v="Addition of a ditch bottom inlet and regrading to route untreated runoff into Pond 4 of the existing RSF."/>
    <s v="Wet Detention Pond"/>
    <x v="0"/>
    <n v="2016"/>
    <n v="175"/>
    <n v="35"/>
    <s v="N/A"/>
    <n v="25"/>
    <n v="59300"/>
    <s v="Not provided"/>
    <s v="Not provided"/>
    <s v="Not provided"/>
    <s v="N/A"/>
    <s v="Structural"/>
    <s v="Completed"/>
    <n v="2017"/>
    <s v="Not provided"/>
    <s v="Harney-Monroe"/>
    <s v="Not provided"/>
    <s v="Not provided"/>
    <s v="Not provided"/>
  </r>
  <r>
    <x v="10"/>
    <s v="Not provided"/>
    <x v="99"/>
    <s v="Street Sweeping"/>
    <s v="SR 417 MM 51-55_x000a_16 CM Mainline per cycle_x000a_6 CM Ramps per cycle_x000a_24 Total Curb Miles per month or 288 Curb Miles per year Aprox 93,312 lbs or 42,325.61 Kg of dry material."/>
    <s v="Street Sweeping"/>
    <x v="0"/>
    <s v="N/A"/>
    <n v="53"/>
    <n v="34"/>
    <s v="N/A"/>
    <s v="N/A"/>
    <s v="Not provided"/>
    <s v="Not provided"/>
    <s v="Not provided"/>
    <s v="Not provided"/>
    <s v="N/A"/>
    <s v="Non-structural"/>
    <s v="Completed"/>
    <n v="2012"/>
    <s v="Not provided"/>
    <s v="Harney-Monroe"/>
    <s v="N/A"/>
    <s v="N/A"/>
    <s v="Not provided"/>
  </r>
  <r>
    <x v="10"/>
    <s v="Not provided"/>
    <x v="100"/>
    <s v="Education Efforts"/>
    <s v="No fertilizer on right-of-ways, illicit discharge training."/>
    <s v="Education Efforts"/>
    <x v="0"/>
    <s v="N/A"/>
    <s v="TBD"/>
    <s v="TBD"/>
    <s v="N/A"/>
    <s v="N/A"/>
    <s v="N/A"/>
    <s v="N/A"/>
    <s v="N/A"/>
    <s v="N/A"/>
    <s v="N/A"/>
    <s v="Non-structural"/>
    <s v="Underway"/>
    <n v="2017"/>
    <s v="Not provided"/>
    <s v="Attached"/>
    <s v="N/A"/>
    <s v="N/A"/>
    <s v="Not provided"/>
  </r>
  <r>
    <x v="11"/>
    <s v="Not provided"/>
    <x v="101"/>
    <s v="Education and Outreach"/>
    <s v="Education efforts."/>
    <s v="Education Efforts"/>
    <x v="0"/>
    <s v="N/A"/>
    <n v="1391.9"/>
    <n v="201"/>
    <s v="N/A"/>
    <s v="N/A"/>
    <s v="Not provided"/>
    <s v="Not provided"/>
    <s v="Not provided"/>
    <s v="Not provided"/>
    <s v="N/A"/>
    <s v="Non-structural"/>
    <s v="Completed"/>
    <n v="2012"/>
    <s v="Not provided"/>
    <s v="Harney-Monroe"/>
    <s v="N/A"/>
    <s v="N/A"/>
    <s v="Not provided"/>
  </r>
  <r>
    <x v="11"/>
    <s v="Not provided"/>
    <x v="102"/>
    <s v="Street Sweeping"/>
    <s v="Street sweeping."/>
    <s v="Street Sweeping"/>
    <x v="0"/>
    <s v="N/A"/>
    <n v="3130"/>
    <n v="2007"/>
    <s v="N/A"/>
    <s v="N/A"/>
    <s v="Not provided"/>
    <s v="Not provided"/>
    <s v="Not provided"/>
    <s v="Not provided"/>
    <s v="N/A"/>
    <s v="Non-structural"/>
    <s v="Completed"/>
    <n v="2012"/>
    <s v="Not provided"/>
    <s v="Harney-Monroe"/>
    <s v="N/A"/>
    <s v="N/A"/>
    <s v="Not provided"/>
  </r>
  <r>
    <x v="11"/>
    <s v="Not provided"/>
    <x v="103"/>
    <s v="Lemon Bluff Road"/>
    <s v="Grass swales without swale blocks or raised culverts."/>
    <s v="Bioswales"/>
    <x v="0"/>
    <n v="2011"/>
    <n v="6.6"/>
    <n v="1.1000000000000001"/>
    <s v="N/A"/>
    <n v="1.8"/>
    <n v="145000"/>
    <s v="Not provided"/>
    <s v="Not provided"/>
    <s v="Not provided"/>
    <s v="N/A"/>
    <s v="Structural"/>
    <s v="Completed"/>
    <n v="2012"/>
    <s v="Not provided"/>
    <s v="Harney-Monroe"/>
    <s v="Not provided"/>
    <s v="Not provided"/>
    <s v="Not provided"/>
  </r>
  <r>
    <x v="11"/>
    <s v="Not provided"/>
    <x v="104"/>
    <s v="Lemon Bluff Road Ramp"/>
    <s v="Grass swales without swale blocks or raised culverts."/>
    <s v="Bioswales"/>
    <x v="0"/>
    <n v="2011"/>
    <n v="0.7"/>
    <n v="0.1"/>
    <s v="N/A"/>
    <n v="0.2"/>
    <n v="55550"/>
    <s v="Not provided"/>
    <s v="Not provided"/>
    <s v="Not provided"/>
    <s v="N/A"/>
    <s v="Structural"/>
    <s v="Completed"/>
    <n v="2012"/>
    <s v="Not provided"/>
    <s v="Harney-Monroe"/>
    <s v="Not provided"/>
    <s v="Not provided"/>
    <s v="Not provided"/>
  </r>
  <r>
    <x v="11"/>
    <s v="Not provided"/>
    <x v="105"/>
    <s v="DeBary Avenue Expansion"/>
    <s v="DeBary Avenue - Doyle Road expansion."/>
    <s v="Wet Detention Pond"/>
    <x v="0"/>
    <n v="2012"/>
    <n v="41"/>
    <n v="10.3"/>
    <s v="N/A"/>
    <n v="123.3"/>
    <s v="Not provided"/>
    <s v="Not provided"/>
    <s v="Not provided"/>
    <s v="Not provided"/>
    <s v="N/A"/>
    <s v="Structural"/>
    <s v="Completed"/>
    <n v="2012"/>
    <s v="Not provided"/>
    <s v="Harney-Monroe"/>
    <s v="Not provided"/>
    <s v="Not provided"/>
    <s v="Not provided"/>
  </r>
  <r>
    <x v="11"/>
    <s v="Not provided"/>
    <x v="106"/>
    <s v="Lake Winnemissett Non-contributing Basin"/>
    <s v="Non-contributing Basin, not included in the TMDL model."/>
    <s v="Non-contributing Basin"/>
    <x v="0"/>
    <n v="2012"/>
    <n v="657.9"/>
    <n v="93.8"/>
    <s v="N/A"/>
    <n v="1003.3"/>
    <s v="N/A"/>
    <s v="N/A"/>
    <s v="N/A"/>
    <s v="N/A"/>
    <s v="N/A"/>
    <s v="Non-structural"/>
    <s v="Completed"/>
    <n v="2012"/>
    <s v="Not provided"/>
    <s v="Harney-Monroe"/>
    <s v="N/A"/>
    <s v="N/A"/>
    <s v="N/A"/>
  </r>
  <r>
    <x v="11"/>
    <s v="Not provided"/>
    <x v="107"/>
    <s v="Roadside Ditch Cleaning"/>
    <s v="Ongoing roadside ditch cleaning throughout county."/>
    <s v="BMP Cleanout"/>
    <x v="0"/>
    <s v="N/A"/>
    <n v="905"/>
    <n v="556"/>
    <s v="N/A"/>
    <s v="N/A"/>
    <s v="Not provided"/>
    <s v="Not provided"/>
    <s v="Not provided"/>
    <s v="Not provided"/>
    <s v="N/A"/>
    <s v="Non-structural"/>
    <s v="Ongoing"/>
    <n v="2016"/>
    <s v="Not provided"/>
    <s v="Harney-Monroe"/>
    <s v="N/A"/>
    <s v="N/A"/>
    <s v="Not provided"/>
  </r>
  <r>
    <x v="11"/>
    <s v="VC/ DEP/ SJRWMD"/>
    <x v="108"/>
    <s v="Gemini Springs Baffle Boxes"/>
    <s v="Installation of two baffle boxes."/>
    <s v="Baffle Boxes- Second Generation"/>
    <x v="2"/>
    <s v="2019"/>
    <n v="850"/>
    <n v="135"/>
    <s v="N/A"/>
    <n v="208"/>
    <n v="381900"/>
    <s v="Not provided"/>
    <s v="DEP/ SJRWMD"/>
    <s v="DEP - $95,000/ SJRWMD - $95,000"/>
    <s v="NS034"/>
    <s v="Structural"/>
    <s v="Planned"/>
    <n v="2017"/>
    <s v="Not provided"/>
    <s v="Harney-Monroe"/>
    <n v="28.867999999999999"/>
    <n v="81.298000000000002"/>
    <d v="2018-09-01T00:00:00"/>
  </r>
  <r>
    <x v="11"/>
    <s v="N/A"/>
    <x v="109"/>
    <s v="Fertilizer Ordinance"/>
    <s v="Fertilizer restrictions including summer ban on nitrogen and phosphorus."/>
    <s v="Regulations, Ordinances, and Guidelines"/>
    <x v="0"/>
    <s v="N/A"/>
    <s v="TBD"/>
    <s v="N/A"/>
    <s v="N/A"/>
    <s v="N/A"/>
    <s v="Not provided"/>
    <s v="Not provided"/>
    <s v="Volusia County General Fund"/>
    <s v="N/A"/>
    <s v="N/A"/>
    <s v="Non-structural"/>
    <s v="Completed"/>
    <n v="2019"/>
    <s v="Not provided"/>
    <s v="Harney-Monroe"/>
    <s v="N/A"/>
    <s v="N/A"/>
    <n v="2019"/>
  </r>
  <r>
    <x v="11"/>
    <s v="VC/ SJRWMD"/>
    <x v="110"/>
    <s v="Thornby Park Improvement Project"/>
    <s v="Installation of baffle boxes and upflow filtration system"/>
    <s v="Baffle Boxes- Second Generation"/>
    <x v="2"/>
    <s v="2020"/>
    <s v="TBD"/>
    <s v="TBD"/>
    <s v="N/A"/>
    <n v="65"/>
    <n v="476354"/>
    <s v="Not provided"/>
    <s v="VC/ SJRWMD"/>
    <s v="TBD"/>
    <s v="TBD"/>
    <s v="Structural"/>
    <s v="Planned"/>
    <n v="2020"/>
    <s v="Not provided"/>
    <s v="Harney-Monroe"/>
    <s v="N/A"/>
    <s v="N/A"/>
    <n v="2020"/>
  </r>
  <r>
    <x v="12"/>
    <m/>
    <x v="111"/>
    <m/>
    <m/>
    <m/>
    <x v="3"/>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
  <r>
    <n v="2153"/>
  </r>
  <r>
    <n v="2165"/>
  </r>
  <r>
    <n v="2164"/>
  </r>
  <r>
    <n v="2163"/>
  </r>
  <r>
    <n v="5244"/>
  </r>
  <r>
    <n v="5245"/>
  </r>
  <r>
    <n v="2162"/>
  </r>
  <r>
    <n v="2161"/>
  </r>
  <r>
    <n v="2160"/>
  </r>
  <r>
    <n v="2159"/>
  </r>
  <r>
    <n v="2184"/>
  </r>
  <r>
    <n v="2183"/>
  </r>
  <r>
    <n v="2182"/>
  </r>
  <r>
    <n v="2181"/>
  </r>
  <r>
    <n v="2167"/>
  </r>
  <r>
    <n v="5246"/>
  </r>
  <r>
    <n v="5247"/>
  </r>
  <r>
    <n v="5248"/>
  </r>
  <r>
    <n v="5249"/>
  </r>
  <r>
    <n v="5250"/>
  </r>
  <r>
    <n v="2179"/>
  </r>
  <r>
    <n v="2191"/>
  </r>
  <r>
    <n v="2177"/>
  </r>
  <r>
    <n v="2176"/>
  </r>
  <r>
    <n v="2175"/>
  </r>
  <r>
    <n v="2174"/>
  </r>
  <r>
    <n v="2173"/>
  </r>
  <r>
    <n v="4834"/>
  </r>
  <r>
    <n v="2172"/>
  </r>
  <r>
    <n v="2171"/>
  </r>
  <r>
    <n v="2170"/>
  </r>
  <r>
    <n v="2169"/>
  </r>
  <r>
    <n v="2168"/>
  </r>
  <r>
    <n v="2185"/>
  </r>
  <r>
    <n v="2186"/>
  </r>
  <r>
    <n v="2187"/>
  </r>
  <r>
    <n v="2188"/>
  </r>
  <r>
    <n v="2189"/>
  </r>
  <r>
    <n v="2155"/>
  </r>
  <r>
    <n v="2180"/>
  </r>
  <r>
    <n v="2178"/>
  </r>
  <r>
    <n v="2144"/>
  </r>
  <r>
    <n v="2145"/>
  </r>
  <r>
    <n v="2146"/>
  </r>
  <r>
    <n v="2147"/>
  </r>
  <r>
    <n v="2148"/>
  </r>
  <r>
    <n v="2149"/>
  </r>
  <r>
    <n v="2150"/>
  </r>
  <r>
    <n v="2151"/>
  </r>
  <r>
    <n v="2152"/>
  </r>
  <r>
    <n v="2166"/>
  </r>
  <r>
    <n v="2154"/>
  </r>
  <r>
    <n v="2143"/>
  </r>
  <r>
    <n v="2215"/>
  </r>
  <r>
    <n v="2156"/>
  </r>
  <r>
    <n v="2190"/>
  </r>
  <r>
    <n v="2157"/>
  </r>
  <r>
    <n v="2158"/>
  </r>
  <r>
    <n v="2220"/>
  </r>
  <r>
    <n v="2230"/>
  </r>
  <r>
    <n v="2222"/>
  </r>
  <r>
    <n v="2218"/>
  </r>
  <r>
    <n v="2233"/>
  </r>
  <r>
    <n v="2237"/>
  </r>
  <r>
    <n v="2223"/>
  </r>
  <r>
    <n v="2219"/>
  </r>
  <r>
    <n v="2193"/>
  </r>
  <r>
    <n v="2142"/>
  </r>
  <r>
    <n v="2194"/>
  </r>
  <r>
    <n v="2195"/>
  </r>
  <r>
    <n v="2205"/>
  </r>
  <r>
    <n v="2196"/>
  </r>
  <r>
    <n v="2221"/>
  </r>
  <r>
    <n v="2197"/>
  </r>
  <r>
    <n v="5251"/>
  </r>
  <r>
    <n v="2198"/>
  </r>
  <r>
    <n v="4383"/>
  </r>
  <r>
    <n v="4384"/>
  </r>
  <r>
    <n v="4385"/>
  </r>
  <r>
    <n v="2199"/>
  </r>
  <r>
    <n v="2200"/>
  </r>
  <r>
    <n v="2201"/>
  </r>
  <r>
    <n v="5252"/>
  </r>
  <r>
    <n v="2202"/>
  </r>
  <r>
    <n v="2217"/>
  </r>
  <r>
    <n v="2204"/>
  </r>
  <r>
    <n v="2192"/>
  </r>
  <r>
    <n v="2206"/>
  </r>
  <r>
    <n v="2207"/>
  </r>
  <r>
    <n v="2208"/>
  </r>
  <r>
    <n v="2209"/>
  </r>
  <r>
    <n v="2203"/>
  </r>
  <r>
    <n v="2210"/>
  </r>
  <r>
    <n v="2216"/>
  </r>
  <r>
    <n v="2214"/>
  </r>
  <r>
    <n v="2213"/>
  </r>
  <r>
    <n v="2212"/>
  </r>
  <r>
    <n v="2211"/>
  </r>
  <r>
    <n v="2232"/>
  </r>
  <r>
    <n v="2229"/>
  </r>
  <r>
    <n v="2234"/>
  </r>
  <r>
    <n v="2235"/>
  </r>
  <r>
    <n v="2236"/>
  </r>
  <r>
    <n v="2231"/>
  </r>
  <r>
    <n v="2228"/>
  </r>
  <r>
    <n v="2227"/>
  </r>
  <r>
    <n v="2226"/>
  </r>
  <r>
    <n v="2225"/>
  </r>
  <r>
    <n v="2224"/>
  </r>
  <r>
    <n v="5253"/>
  </r>
  <r>
    <n v="5254"/>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n v="2153"/>
    <x v="0"/>
    <s v="N/A"/>
    <s v="DB-01"/>
    <s v="Non-contributing Basin"/>
    <s v="Non-contributing Basin, not included in the TMDL model."/>
    <x v="0"/>
    <x v="0"/>
    <x v="0"/>
    <n v="6522.5"/>
    <n v="1036.8"/>
    <s v="N/A"/>
    <s v="Not provided"/>
    <s v="N/A"/>
    <s v="N/A"/>
    <s v="City of DeBary"/>
    <s v="N/A"/>
    <s v="N/A"/>
    <s v="Non-structural"/>
    <s v="Underway"/>
    <x v="0"/>
    <s v="Not provided"/>
    <s v="Harney-Monroe"/>
    <s v="N/A"/>
    <s v="N/A"/>
    <s v="N/A"/>
  </r>
  <r>
    <n v="2165"/>
    <x v="0"/>
    <s v="N/A"/>
    <s v="DB-02"/>
    <s v="Non-contributing Basin"/>
    <s v="Non-contributing Basin, not included in the TMDL model."/>
    <x v="0"/>
    <x v="0"/>
    <x v="0"/>
    <n v="7039.2"/>
    <n v="1170.2"/>
    <s v="N/A"/>
    <s v="Not provided"/>
    <s v="N/A"/>
    <s v="N/A"/>
    <s v="City of DeBary"/>
    <s v="N/A"/>
    <s v="N/A"/>
    <s v="Non-structural"/>
    <s v="Underway"/>
    <x v="0"/>
    <s v="Not provided"/>
    <s v="Harney-Monroe"/>
    <s v="N/A"/>
    <s v="N/A"/>
    <s v="N/A"/>
  </r>
  <r>
    <n v="2164"/>
    <x v="0"/>
    <s v="N/A"/>
    <s v="DB-03"/>
    <s v="Citywide Fertilizer Ordinance"/>
    <s v="Reduction of fertilizer application (Ordinance 04-17)."/>
    <x v="1"/>
    <x v="0"/>
    <x v="1"/>
    <n v="31.724055445256965"/>
    <n v="4.7100770185483452"/>
    <s v="N/A"/>
    <s v="N/A"/>
    <s v="N/A"/>
    <s v="N/A"/>
    <s v="City of DeBary"/>
    <s v="N/A"/>
    <s v="N/A"/>
    <s v="Non-structural"/>
    <s v="Underway"/>
    <x v="1"/>
    <s v="Copy of the revised ordinance"/>
    <s v="Harney-Monroe"/>
    <s v="N/A"/>
    <s v="N/A"/>
    <s v="Not provided"/>
  </r>
  <r>
    <n v="2163"/>
    <x v="0"/>
    <s v="N/A"/>
    <s v="DB-04"/>
    <s v="Public Education and Ordinances"/>
    <s v="FYN; Irrigation Ordinance; Pet Waste Ordinance; PSAs, website, brochures, and inspection program for illicit discharges."/>
    <x v="2"/>
    <x v="0"/>
    <x v="1"/>
    <n v="317.24055445256965"/>
    <n v="47.100770185483455"/>
    <s v="N/A"/>
    <s v="N/A"/>
    <s v="Not provided"/>
    <s v="N/A"/>
    <s v="City of DeBary"/>
    <s v="Not provided"/>
    <s v="N/A"/>
    <s v="Non-structural"/>
    <s v="Underway"/>
    <x v="1"/>
    <s v="City website link, PDFs"/>
    <s v="Harney-Monroe"/>
    <s v="N/A"/>
    <s v="N/A"/>
    <s v="Not provided"/>
  </r>
  <r>
    <n v="5244"/>
    <x v="0"/>
    <s v="N/A"/>
    <s v="DB-05"/>
    <s v="Citywide Lake Monitoring Program"/>
    <s v="Quarterly lake monitoring sampling."/>
    <x v="3"/>
    <x v="0"/>
    <x v="1"/>
    <s v="N/A"/>
    <s v="N/A"/>
    <s v="N/A"/>
    <s v="N/A"/>
    <n v="65000"/>
    <s v="N/A"/>
    <s v="City of DeBary Stormwater Assessment Fee"/>
    <n v="65000"/>
    <s v="N/A"/>
    <s v="Non-structural"/>
    <s v="Underway/Ongoing"/>
    <x v="2"/>
    <s v="N/A"/>
    <s v="Harney-Monroe"/>
    <s v="N/A"/>
    <s v="N/A"/>
    <s v="Not provided"/>
  </r>
  <r>
    <n v="5245"/>
    <x v="0"/>
    <s v="N/A"/>
    <s v="DB-06"/>
    <s v="BMP Clean Out"/>
    <s v="Clean out of BMPs, an average of 150 cubic yards of material per year collected in the contributing watershed."/>
    <x v="4"/>
    <x v="0"/>
    <x v="1"/>
    <n v="362"/>
    <n v="113"/>
    <s v="N/A"/>
    <s v="N/A"/>
    <n v="3500"/>
    <n v="3500"/>
    <s v="City of DeBary"/>
    <s v="N/A"/>
    <s v="N/A"/>
    <s v="Non-structural"/>
    <s v="Underway/Ongoing"/>
    <x v="2"/>
    <s v="N/A"/>
    <s v="Harney-Monroe"/>
    <s v="N/A"/>
    <s v="N/A"/>
    <s v="Not provided"/>
  </r>
  <r>
    <n v="2162"/>
    <x v="1"/>
    <s v="Not provided"/>
    <s v="DEL-01"/>
    <s v="McGarity Kirkhill Regional Treatment Facility"/>
    <s v="Retrofit project to treat surface water runoff from a residential area in the city."/>
    <x v="5"/>
    <x v="0"/>
    <x v="0"/>
    <n v="344.6"/>
    <n v="91.8"/>
    <s v="N/A"/>
    <n v="277.2"/>
    <n v="1500000"/>
    <n v="50000"/>
    <s v="Not provided"/>
    <s v="Not provided"/>
    <s v="N/A"/>
    <s v="Structural"/>
    <s v="Completed"/>
    <x v="0"/>
    <s v="Not provided"/>
    <s v="Harney-Monroe"/>
    <s v="Not provided"/>
    <s v="Not provided"/>
    <s v="Not provided"/>
  </r>
  <r>
    <n v="2161"/>
    <x v="1"/>
    <s v="Not provided"/>
    <s v="DEL-02"/>
    <s v="DRA GC-5"/>
    <s v="Water quality treatment for a residential area."/>
    <x v="6"/>
    <x v="0"/>
    <x v="0"/>
    <n v="25.5"/>
    <n v="4.3"/>
    <s v="N/A"/>
    <n v="10.5"/>
    <n v="120000"/>
    <n v="6000"/>
    <s v="Not provided"/>
    <s v="Not provided"/>
    <s v="N/A"/>
    <s v="Structural"/>
    <s v="Completed"/>
    <x v="0"/>
    <s v="Not provided"/>
    <s v="Harney-Monroe"/>
    <s v="Not provided"/>
    <s v="Not provided"/>
    <s v="Not provided"/>
  </r>
  <r>
    <n v="2160"/>
    <x v="1"/>
    <s v="Not provided"/>
    <s v="DEL-03"/>
    <s v="Swales"/>
    <s v="Swales throughout the city."/>
    <x v="7"/>
    <x v="0"/>
    <x v="0"/>
    <n v="4820.2"/>
    <n v="728.6"/>
    <s v="N/A"/>
    <n v="2368.6999999999998"/>
    <n v="2000000"/>
    <n v="100000"/>
    <s v="Not provided"/>
    <s v="Not provided"/>
    <s v="N/A"/>
    <s v="Structural"/>
    <s v="Completed"/>
    <x v="0"/>
    <s v="Not provided"/>
    <s v="Harney-Monroe"/>
    <s v="N/A"/>
    <s v="N/A"/>
    <s v="Not provided"/>
  </r>
  <r>
    <n v="2159"/>
    <x v="1"/>
    <s v="Not provided"/>
    <s v="DEL-04"/>
    <s v="Lake Gleason Control Structure"/>
    <s v="Proposed control structure to increase storage in Lake Gleason."/>
    <x v="5"/>
    <x v="0"/>
    <x v="2"/>
    <n v="672"/>
    <n v="188.4"/>
    <s v="N/A"/>
    <n v="581.6"/>
    <n v="150000"/>
    <n v="3000"/>
    <s v="Not provided"/>
    <s v="Not provided"/>
    <s v="N/A"/>
    <s v="Structural"/>
    <s v="Completed"/>
    <x v="0"/>
    <s v="Not provided"/>
    <s v="Harney-Monroe"/>
    <s v="Not provided"/>
    <s v="Not provided"/>
    <s v="Not provided"/>
  </r>
  <r>
    <n v="2184"/>
    <x v="1"/>
    <s v="Not provided"/>
    <s v="DEL-05"/>
    <s v="Education Efforts"/>
    <s v="FYN, irrigation ordinance, pet waste ordinance, PSAs, pamphlets, website, illicit discharge program."/>
    <x v="2"/>
    <x v="0"/>
    <x v="1"/>
    <n v="1270"/>
    <n v="206.4"/>
    <s v="N/A"/>
    <s v="N/A"/>
    <s v="Not provided"/>
    <s v="Not provided"/>
    <s v="Not provided"/>
    <s v="Not provided"/>
    <s v="N/A"/>
    <s v="Non-structural"/>
    <s v="Completed"/>
    <x v="0"/>
    <s v="Not provided"/>
    <s v="Harney-Monroe"/>
    <s v="N/A"/>
    <s v="N/A"/>
    <s v="Not provided"/>
  </r>
  <r>
    <n v="2183"/>
    <x v="1"/>
    <s v="Not provided"/>
    <s v="DEL-06"/>
    <s v="Catch Basin Maintenance"/>
    <s v="Catch basin cleanout throughout the city."/>
    <x v="8"/>
    <x v="0"/>
    <x v="1"/>
    <n v="19.100000000000001"/>
    <n v="10.4"/>
    <s v="N/A"/>
    <s v="Not provided"/>
    <s v="Not provided"/>
    <s v="Not provided"/>
    <s v="Not provided"/>
    <s v="Not provided"/>
    <s v="N/A"/>
    <s v="Non-structural"/>
    <s v="Completed"/>
    <x v="0"/>
    <s v="Not provided"/>
    <s v="Harney-Monroe"/>
    <s v="N/A"/>
    <s v="N/A"/>
    <s v="Not provided"/>
  </r>
  <r>
    <n v="2182"/>
    <x v="1"/>
    <s v="Not provided"/>
    <s v="DEL-07"/>
    <s v="Leland Stormwater Lift Station"/>
    <s v="Stormwater is pumped into Alexander Avenue Water Resources Facility (AAWRF) for treatment. The AAWRF treats up to 4MGD of surface water and stormwater used to augment the Public Access Reuse (PAR) systems for  Deltona and Volusia County."/>
    <x v="9"/>
    <x v="0"/>
    <x v="3"/>
    <n v="441.01132999580636"/>
    <n v="28.701688460324895"/>
    <s v="N/A"/>
    <s v="N/A"/>
    <n v="2400000"/>
    <n v="20000"/>
    <s v="Deltona/ SJRWMD/ DEP"/>
    <s v="Not provided"/>
    <s v="WW641830"/>
    <s v="Structural"/>
    <s v="Completed"/>
    <x v="3"/>
    <s v="Not provided"/>
    <s v="Harney-Monroe"/>
    <s v="Not provided"/>
    <s v="Not provided"/>
    <s v="Not provided"/>
  </r>
  <r>
    <n v="2181"/>
    <x v="1"/>
    <s v="Not provided"/>
    <s v="DEL-08"/>
    <s v="Tivoli/Wheeling Stormwater Lift Station"/>
    <s v="Stormwater is pumped into Alexander Avenue Water Resources Facility (AAWRF) for treatment. The AAWRF treats up to 4MGD of surface water and stormwater used to augment the Public Access Reuse (PAR) systems for  Deltona and Volusia County."/>
    <x v="9"/>
    <x v="0"/>
    <x v="3"/>
    <n v="631.49689923668279"/>
    <n v="40.282441957520085"/>
    <s v="N/A"/>
    <s v="Not provided"/>
    <n v="2000000"/>
    <n v="20000"/>
    <s v="Deltona/ SJRWMD/ DEP"/>
    <s v="Not provided"/>
    <s v="WW641830"/>
    <s v="Structural"/>
    <s v="Completed"/>
    <x v="3"/>
    <s v="Not provided"/>
    <s v="Harney-Monroe"/>
    <s v="N/A"/>
    <s v="N/A"/>
    <n v="2013"/>
  </r>
  <r>
    <n v="2167"/>
    <x v="1"/>
    <s v="DEP"/>
    <s v="DEL-09"/>
    <s v="Brickell Stormwater Management System"/>
    <s v="Treatment of stormwater flow from a major outfall, prior to discharge to Lake Monroe. The existing flow will be diverted through a natural wetland, for filtering, and pond to a set elevation before flowing over a weir to existing outfall."/>
    <x v="10"/>
    <x v="0"/>
    <x v="4"/>
    <n v="186"/>
    <n v="73"/>
    <s v="N/A"/>
    <n v="288"/>
    <n v="600000"/>
    <n v="10000"/>
    <s v="DEP"/>
    <n v="315000"/>
    <s v="NF004"/>
    <s v="Non-structural"/>
    <s v="Planned"/>
    <x v="1"/>
    <s v="Not provided"/>
    <s v="Harney-Monroe"/>
    <n v="28.868683545435399"/>
    <n v="-81.244312226772294"/>
    <d v="2017-08-22T00:00:00"/>
  </r>
  <r>
    <n v="5246"/>
    <x v="1"/>
    <s v="SJRWMD/ DEP"/>
    <s v="DEL-10"/>
    <s v="Lake Monroe Surface Water Intake (Future)"/>
    <s v="Stormwater is pumped into Alexander Avenue Water Resources Facility (AAWRF) for treatment. The AAWRF treats up to 4MGD of surface water and stormwater used to augment the Public Access Reuse (PAR) systems for  Deltona and Volusia County."/>
    <x v="11"/>
    <x v="1"/>
    <x v="5"/>
    <s v="TBD"/>
    <s v="TBD"/>
    <s v="N/A"/>
    <s v="N/A"/>
    <n v="14300000"/>
    <s v="TBD"/>
    <s v="Deltona/ SJRWMD/ DEP"/>
    <s v="TBD"/>
    <s v="TBD"/>
    <s v="Structural"/>
    <s v="Planned"/>
    <x v="2"/>
    <s v="Not provided"/>
    <s v="Harney-Monroe"/>
    <s v="Not provided"/>
    <s v="Not provided"/>
    <s v="Not provided"/>
  </r>
  <r>
    <n v="5247"/>
    <x v="1"/>
    <s v="N/A"/>
    <s v="DEL-11"/>
    <s v="DRA GC4"/>
    <s v="Water quality treatment for a residential basin within the BMAP area."/>
    <x v="6"/>
    <x v="1"/>
    <x v="5"/>
    <n v="36.46"/>
    <n v="5.45"/>
    <s v="N/A"/>
    <n v="26.44"/>
    <n v="250000"/>
    <n v="8000"/>
    <s v="Not provided"/>
    <s v="Not provided"/>
    <s v="Not provided"/>
    <s v="Structural"/>
    <s v="Planned"/>
    <x v="2"/>
    <s v="Not provided"/>
    <s v="Harney-Monroe"/>
    <s v="Not provided"/>
    <s v="Not provided"/>
    <s v="Not provided"/>
  </r>
  <r>
    <n v="5248"/>
    <x v="1"/>
    <s v="N/A"/>
    <s v="DEL-12"/>
    <s v="DRA GC7"/>
    <s v="Water quality treatment for a residential basin within the BMAP area."/>
    <x v="6"/>
    <x v="1"/>
    <x v="5"/>
    <n v="5.74"/>
    <n v="1.84"/>
    <s v="N/A"/>
    <n v="13.7"/>
    <n v="200000"/>
    <n v="8000"/>
    <s v="Not provided"/>
    <s v="Not provided"/>
    <s v="Not provided"/>
    <s v="Structural"/>
    <s v="Planned"/>
    <x v="2"/>
    <s v="Not provided"/>
    <s v="Harney-Monroe"/>
    <s v="Not provided"/>
    <s v="Not provided"/>
    <s v="Not provided"/>
  </r>
  <r>
    <n v="5249"/>
    <x v="1"/>
    <s v="SJRWMD/ DEP"/>
    <s v="DEL-13"/>
    <s v="Norwood Stormwater Lift Station (Future)"/>
    <s v="Stormwater is pumped into Alexander Avenue Water Resources Facility (AAWRF) for treatment. The AAWRF treats up to 4MGD of surface water and stormwater used to augment the Public Access Reuse (PAR) systems for  Deltona and Volusia County."/>
    <x v="9"/>
    <x v="1"/>
    <x v="6"/>
    <s v="TBD"/>
    <s v="TBD"/>
    <s v="N/A"/>
    <s v="Not provided"/>
    <s v="TBD"/>
    <s v="TBD"/>
    <s v="Deltona"/>
    <s v="TBD"/>
    <s v="N/A"/>
    <s v="Structural"/>
    <s v="Planned"/>
    <x v="2"/>
    <s v="Not provided"/>
    <s v="Harney-Monroe"/>
    <s v="Not provided"/>
    <s v="Not provided"/>
    <s v="Not provided"/>
  </r>
  <r>
    <n v="5250"/>
    <x v="1"/>
    <s v="SJRWMD/ DEP"/>
    <s v="DEL-14"/>
    <s v="Saxon/I-4 Stormwater Lift Station (Future)"/>
    <s v="Stormwater is pumped into Alexander Avenue Water Resources Facility (AAWRF) for treatment. The AAWRF treats up to 4MGD of surface water and stormwater used to augment the Public Access Reuse (PAR) systems for  Deltona and Volusia County."/>
    <x v="9"/>
    <x v="1"/>
    <x v="7"/>
    <s v="TBD"/>
    <s v="TBD"/>
    <s v="N/A"/>
    <n v="16.23"/>
    <s v="TBD"/>
    <s v="TBD"/>
    <s v="Deltona/ SJRWMD/ DEP"/>
    <s v="TBD"/>
    <s v="N/A"/>
    <s v="Structural"/>
    <s v="Planned"/>
    <x v="2"/>
    <s v="Not provided"/>
    <s v="Harney-Monroe"/>
    <s v="Not provided"/>
    <s v="Not provided"/>
    <s v="Not provided"/>
  </r>
  <r>
    <n v="2179"/>
    <x v="2"/>
    <s v="Not provided"/>
    <s v="DL-01"/>
    <s v="Education Efforts"/>
    <s v="FYN Program, irrigation ordinance, fertilizer ordinance, pamphlets, website, illicit discharge program."/>
    <x v="2"/>
    <x v="0"/>
    <x v="1"/>
    <n v="9.1"/>
    <n v="0.7"/>
    <s v="N/A"/>
    <s v="Not provided"/>
    <s v="Not provided"/>
    <s v="Not provided"/>
    <s v="Not provided"/>
    <s v="Not provided"/>
    <s v="N/A"/>
    <s v="Non-structural"/>
    <s v="Completed"/>
    <x v="0"/>
    <s v="Not provided"/>
    <s v="Harney-Monroe"/>
    <s v="N/A"/>
    <s v="N/A"/>
    <s v="Not provided"/>
  </r>
  <r>
    <n v="2191"/>
    <x v="3"/>
    <s v="N/A"/>
    <s v="FDACS-01"/>
    <s v="Reductions Changes"/>
    <s v="Credit for changes in land use."/>
    <x v="12"/>
    <x v="0"/>
    <x v="0"/>
    <n v="15043.1"/>
    <n v="2953.3"/>
    <s v="N/A"/>
    <s v="N/A"/>
    <s v="N/A"/>
    <s v="N/A"/>
    <s v="N/A"/>
    <s v="N/A"/>
    <s v="N/A"/>
    <s v="Non-structural"/>
    <s v="Underway"/>
    <x v="0"/>
    <s v="Not provided"/>
    <s v="Harney-Monroe"/>
    <s v="N/A"/>
    <s v="N/A"/>
    <s v="N/A"/>
  </r>
  <r>
    <n v="2177"/>
    <x v="3"/>
    <s v="N/A"/>
    <s v="FDACS-02"/>
    <s v="Reductions Area"/>
    <s v="Reductions from non-contributing area."/>
    <x v="0"/>
    <x v="0"/>
    <x v="0"/>
    <n v="1416.6"/>
    <n v="241.4"/>
    <s v="N/A"/>
    <s v="N/A"/>
    <s v="N/A"/>
    <s v="N/A"/>
    <s v="N/A"/>
    <s v="N/A"/>
    <s v="N/A"/>
    <s v="Non-structural"/>
    <s v="Underway"/>
    <x v="0"/>
    <s v="Not provided"/>
    <s v="Harney-Monroe"/>
    <s v="N/A"/>
    <s v="N/A"/>
    <s v="N/A"/>
  </r>
  <r>
    <n v="2176"/>
    <x v="3"/>
    <s v="N/A"/>
    <s v="FDACS-03"/>
    <s v="BMP Enrollment"/>
    <s v="Enrollment and verification of BMPs by agricultural producers."/>
    <x v="13"/>
    <x v="0"/>
    <x v="2"/>
    <n v="4046.8"/>
    <n v="800.2"/>
    <s v="N/A"/>
    <s v="N/A"/>
    <s v="N/A"/>
    <s v="N/A"/>
    <s v="FDACS"/>
    <s v="N/A"/>
    <s v="N/A"/>
    <s v="Non-structural"/>
    <s v="Completed"/>
    <x v="4"/>
    <s v="Not provided"/>
    <s v="Harney-Monroe"/>
    <s v="N/A"/>
    <s v="N/A"/>
    <s v="N/A"/>
  </r>
  <r>
    <n v="2175"/>
    <x v="3"/>
    <s v="N/A"/>
    <s v="FDACS-03b"/>
    <s v="BMP Enrollment"/>
    <s v="Enrollment and verification of BMPs by agricultural producers."/>
    <x v="13"/>
    <x v="0"/>
    <x v="8"/>
    <n v="3747.1"/>
    <n v="684.9"/>
    <s v="N/A"/>
    <s v="N/A"/>
    <s v="N/A"/>
    <s v="N/A"/>
    <s v="FDACS"/>
    <s v="N/A"/>
    <s v="N/A"/>
    <s v="Non-structural"/>
    <s v="Completed"/>
    <x v="5"/>
    <s v="Not provided"/>
    <s v="Harney-Monroe"/>
    <s v="N/A"/>
    <s v="N/A"/>
    <s v="N/A"/>
  </r>
  <r>
    <n v="2174"/>
    <x v="3"/>
    <s v="N/A"/>
    <s v="FDACS-03c"/>
    <s v="BMP Enrollment"/>
    <s v="Enrollment and verification of BMPs by agricultural producers."/>
    <x v="13"/>
    <x v="0"/>
    <x v="9"/>
    <n v="8252"/>
    <n v="1538.6"/>
    <s v="N/A"/>
    <s v="N/A"/>
    <s v="N/A"/>
    <s v="N/A"/>
    <s v="FDACS"/>
    <s v="N/A"/>
    <s v="N/A"/>
    <s v="Non-structural"/>
    <s v="Completed"/>
    <x v="3"/>
    <s v="Not provided"/>
    <s v="Harney-Monroe"/>
    <s v="N/A"/>
    <s v="N/A"/>
    <s v="N/A"/>
  </r>
  <r>
    <n v="2173"/>
    <x v="3"/>
    <s v="N/A"/>
    <s v="FDACS-03d"/>
    <s v="BMP Enrollment"/>
    <s v="Enrollment and verification of BMPs by agricultural producers."/>
    <x v="13"/>
    <x v="0"/>
    <x v="10"/>
    <n v="10723"/>
    <n v="1903"/>
    <s v="N/A"/>
    <s v="N/A"/>
    <s v="N/A"/>
    <s v="N/A"/>
    <s v="FDACS"/>
    <s v="N/A"/>
    <s v="N/A"/>
    <s v="Non-structural"/>
    <s v="Completed"/>
    <x v="6"/>
    <s v="Not provided"/>
    <s v="Harney-Monroe"/>
    <s v="N/A"/>
    <s v="N/A"/>
    <s v="N/A"/>
  </r>
  <r>
    <n v="4834"/>
    <x v="3"/>
    <s v="Agricultural Producers"/>
    <s v="FDACS-03e"/>
    <s v="BMP Implementation and Verification"/>
    <s v="Enrollment and verification of BMPs by agricultural producers. Reductions based on HSPF model. Acres treated based on FDACS OAWP December 2019 Enrollment and FSAID VI."/>
    <x v="13"/>
    <x v="0"/>
    <x v="1"/>
    <n v="6354"/>
    <n v="1054"/>
    <s v="N/A"/>
    <n v="5716"/>
    <s v="TBD"/>
    <s v="TBD"/>
    <s v="FDACS"/>
    <s v="TBD"/>
    <s v="N/A"/>
    <s v="Non-structural"/>
    <s v="Completed"/>
    <x v="7"/>
    <s v="GIS Provided"/>
    <s v="Harney-Monroe"/>
    <s v="N/A"/>
    <s v="N/A"/>
    <s v="N/A"/>
  </r>
  <r>
    <n v="2172"/>
    <x v="4"/>
    <s v="N/A"/>
    <s v="FDOT-01"/>
    <s v="79070-3547-02 (Pond pond 2)"/>
    <s v="Wet detention pond."/>
    <x v="5"/>
    <x v="0"/>
    <x v="11"/>
    <n v="19.7"/>
    <n v="2.2000000000000002"/>
    <s v="N/A"/>
    <n v="21.6"/>
    <s v="Not provided"/>
    <s v="Not provided"/>
    <s v="Florida Legislature"/>
    <s v="Not provided"/>
    <s v="N/A"/>
    <s v="Structural"/>
    <s v="Completed"/>
    <x v="0"/>
    <s v="Provided during BMAP Development"/>
    <s v="Harney-Monroe"/>
    <n v="29.018822"/>
    <n v="-81.214544000000004"/>
    <n v="2003"/>
  </r>
  <r>
    <n v="2171"/>
    <x v="4"/>
    <s v="N/A"/>
    <s v="FDOT-02"/>
    <s v="79070-3547-03 (Pond pond 3)"/>
    <s v="Wet detention pond."/>
    <x v="5"/>
    <x v="0"/>
    <x v="11"/>
    <n v="11.7"/>
    <n v="0.6"/>
    <s v="N/A"/>
    <n v="24.9"/>
    <s v="Not provided"/>
    <s v="Not provided"/>
    <s v="Florida Legislature"/>
    <s v="Not provided"/>
    <s v="N/A"/>
    <s v="Structural"/>
    <s v="Completed"/>
    <x v="0"/>
    <s v="Provided during BMAP Development"/>
    <s v="Harney-Monroe"/>
    <n v="29.021801"/>
    <n v="-81.204682000000005"/>
    <n v="2003"/>
  </r>
  <r>
    <n v="2170"/>
    <x v="4"/>
    <s v="N/A"/>
    <s v="FDOT-03"/>
    <s v="79070-3547-04 (Pond pond 4)"/>
    <s v="Wet detention pond."/>
    <x v="5"/>
    <x v="0"/>
    <x v="11"/>
    <n v="15.8"/>
    <n v="0.8"/>
    <s v="N/A"/>
    <n v="35.200000000000003"/>
    <s v="Not provided"/>
    <s v="Not provided"/>
    <s v="Florida Legislature"/>
    <s v="Not provided"/>
    <s v="N/A"/>
    <s v="Structural"/>
    <s v="Completed"/>
    <x v="0"/>
    <s v="Provided during BMAP Development"/>
    <s v="Harney-Monroe"/>
    <n v="29.025358000000001"/>
    <n v="-81.193218999999999"/>
    <n v="2003"/>
  </r>
  <r>
    <n v="2169"/>
    <x v="4"/>
    <s v="N/A"/>
    <s v="FDOT-04"/>
    <s v="79070-3547-06 (Pond pond 6)"/>
    <s v="Wet detention pond."/>
    <x v="5"/>
    <x v="0"/>
    <x v="11"/>
    <n v="13.6"/>
    <n v="0.7"/>
    <s v="N/A"/>
    <n v="18.8"/>
    <s v="Not provided"/>
    <s v="Not provided"/>
    <s v="Florida Legislature"/>
    <s v="Not provided"/>
    <s v="N/A"/>
    <s v="Structural"/>
    <s v="Completed"/>
    <x v="0"/>
    <s v="Provided during BMAP Development"/>
    <s v="Harney-Monroe"/>
    <n v="29.028413"/>
    <n v="-81.151553000000007"/>
    <n v="2003"/>
  </r>
  <r>
    <n v="2168"/>
    <x v="4"/>
    <s v="N/A"/>
    <s v="FDOT-05"/>
    <s v="79070-3546-03 (Pond pond 9)"/>
    <s v="Wet detention pond."/>
    <x v="5"/>
    <x v="0"/>
    <x v="11"/>
    <n v="13.3"/>
    <n v="8.6"/>
    <s v="N/A"/>
    <n v="13.4"/>
    <s v="Not provided"/>
    <s v="Not provided"/>
    <s v="Florida Legislature"/>
    <s v="Not provided"/>
    <s v="N/A"/>
    <s v="Structural"/>
    <s v="Completed"/>
    <x v="0"/>
    <s v="Provided during BMAP Development"/>
    <s v="Harney-Monroe"/>
    <n v="29.017060000000001"/>
    <n v="-81.104698999999997"/>
    <n v="2003"/>
  </r>
  <r>
    <n v="2185"/>
    <x v="4"/>
    <s v="N/A"/>
    <s v="FDOT-06"/>
    <s v="79070-3546-02 (Pond pond 8)"/>
    <s v="Wet detention pond."/>
    <x v="5"/>
    <x v="0"/>
    <x v="11"/>
    <n v="25.4"/>
    <n v="6.2"/>
    <s v="N/A"/>
    <n v="44.3"/>
    <s v="Not provided"/>
    <s v="Not provided"/>
    <s v="Florida Legislature"/>
    <s v="Not provided"/>
    <s v="N/A"/>
    <s v="Structural"/>
    <s v="Completed"/>
    <x v="0"/>
    <s v="Provided during BMAP Development"/>
    <s v="Harney-Monroe"/>
    <n v="29.020569999999999"/>
    <n v="-81.111258000000007"/>
    <n v="2003"/>
  </r>
  <r>
    <n v="2186"/>
    <x v="4"/>
    <s v="N/A"/>
    <s v="FDOT-07"/>
    <s v="79070-3547-05 (Pond pond 5)"/>
    <s v="Wet detention pond."/>
    <x v="5"/>
    <x v="0"/>
    <x v="11"/>
    <n v="25.2"/>
    <n v="2.7"/>
    <s v="N/A"/>
    <n v="33.1"/>
    <s v="Not provided"/>
    <s v="Not provided"/>
    <s v="Florida Legislature"/>
    <s v="Not provided"/>
    <s v="N/A"/>
    <s v="Structural"/>
    <s v="Completed"/>
    <x v="0"/>
    <s v="Provided during BMAP Development"/>
    <s v="Harney-Monroe"/>
    <n v="29.029285000000002"/>
    <n v="-81.172009000000003"/>
    <n v="2003"/>
  </r>
  <r>
    <n v="2187"/>
    <x v="4"/>
    <s v="N/A"/>
    <s v="FDOT-08"/>
    <s v="79070-3546-01 (Pond pond 7)"/>
    <s v="Wet detention pond."/>
    <x v="5"/>
    <x v="0"/>
    <x v="11"/>
    <n v="19.899999999999999"/>
    <n v="1.4"/>
    <s v="N/A"/>
    <n v="26.9"/>
    <s v="Not provided"/>
    <s v="Not provided"/>
    <s v="Florida Legislature"/>
    <s v="Not provided"/>
    <s v="N/A"/>
    <s v="Structural"/>
    <s v="Completed"/>
    <x v="0"/>
    <s v="Provided during BMAP Development"/>
    <s v="Harney-Monroe"/>
    <n v="29.026323000000001"/>
    <n v="-81.136229999999998"/>
    <n v="2003"/>
  </r>
  <r>
    <n v="2188"/>
    <x v="4"/>
    <s v="N/A"/>
    <s v="FDOT-09"/>
    <s v="79070-3546-04 (Pond pond 10)"/>
    <s v="Wet detention pond."/>
    <x v="5"/>
    <x v="0"/>
    <x v="11"/>
    <n v="3.8"/>
    <n v="2.7"/>
    <s v="N/A"/>
    <n v="3.6"/>
    <s v="Not provided"/>
    <s v="Not provided"/>
    <s v="Florida Legislature"/>
    <s v="Not provided"/>
    <s v="N/A"/>
    <s v="Structural"/>
    <s v="Completed"/>
    <x v="0"/>
    <s v="Provided during BMAP Development"/>
    <s v="Harney-Monroe"/>
    <n v="29.012141"/>
    <n v="-81.084574000000003"/>
    <n v="2003"/>
  </r>
  <r>
    <n v="2189"/>
    <x v="4"/>
    <s v="N/A"/>
    <s v="FDOT-10"/>
    <s v="79110-xxx3-08 (Pond 4)"/>
    <s v="FM 408463-1 wet detention pond."/>
    <x v="5"/>
    <x v="0"/>
    <x v="12"/>
    <n v="8.1999999999999993"/>
    <n v="1.6"/>
    <s v="N/A"/>
    <n v="8.4"/>
    <s v="Not provided"/>
    <s v="Not provided"/>
    <s v="Florida Legislature"/>
    <s v="Not provided"/>
    <s v="N/A"/>
    <s v="Structural"/>
    <s v="Completed"/>
    <x v="0"/>
    <s v="Provided during BMAP Development"/>
    <s v="Harney-Monroe"/>
    <n v="28.992464999999999"/>
    <n v="-81.245239999999995"/>
    <n v="2010"/>
  </r>
  <r>
    <n v="2155"/>
    <x v="4"/>
    <s v="N/A"/>
    <s v="FDOT-11"/>
    <s v="79110-xxx (Pond 5)"/>
    <s v="Wet detention pond."/>
    <x v="5"/>
    <x v="0"/>
    <x v="12"/>
    <n v="27.2"/>
    <n v="6.2"/>
    <s v="N/A"/>
    <n v="22.6"/>
    <s v="Not provided"/>
    <s v="Not provided"/>
    <s v="Florida Legislature"/>
    <s v="Not provided"/>
    <s v="N/A"/>
    <s v="Structural"/>
    <s v="Completed"/>
    <x v="0"/>
    <s v="Provided during BMAP Development"/>
    <s v="Harney-Monroe"/>
    <n v="28.999310000000001"/>
    <n v="-81.24221"/>
    <n v="2008"/>
  </r>
  <r>
    <n v="2180"/>
    <x v="4"/>
    <s v="N/A"/>
    <s v="FDOT-12"/>
    <s v="79110-xxx (Pond 6)"/>
    <s v="Wet detention pond."/>
    <x v="5"/>
    <x v="0"/>
    <x v="12"/>
    <n v="13.6"/>
    <n v="2.8"/>
    <s v="N/A"/>
    <n v="10.7"/>
    <s v="Not provided"/>
    <s v="Not provided"/>
    <s v="Florida Legislature"/>
    <s v="Not provided"/>
    <s v="N/A"/>
    <s v="Structural"/>
    <s v="Completed"/>
    <x v="0"/>
    <s v="Provided during BMAP Development"/>
    <s v="Harney-Monroe"/>
    <n v="29.002027999999999"/>
    <n v="-81.24248"/>
    <n v="2010"/>
  </r>
  <r>
    <n v="2178"/>
    <x v="4"/>
    <s v="N/A"/>
    <s v="FDOT-13"/>
    <s v="79110-xxx (Pond 7)"/>
    <s v="Wet detention pond."/>
    <x v="5"/>
    <x v="0"/>
    <x v="12"/>
    <n v="38.299999999999997"/>
    <n v="7.7"/>
    <s v="N/A"/>
    <n v="30"/>
    <s v="Not provided"/>
    <s v="Not provided"/>
    <s v="Florida Legislature"/>
    <s v="Not provided"/>
    <s v="N/A"/>
    <s v="Structural"/>
    <s v="Completed"/>
    <x v="0"/>
    <s v="Provided during BMAP Development"/>
    <s v="Harney-Monroe"/>
    <n v="29.010210000000001"/>
    <n v="-81.237979999999993"/>
    <n v="2010"/>
  </r>
  <r>
    <n v="2144"/>
    <x v="4"/>
    <s v="N/A"/>
    <s v="FDOT-14"/>
    <s v="79110-xxx4-01 (Pond 1 and 1A)"/>
    <s v="Wet detention pond 1 and 1A."/>
    <x v="5"/>
    <x v="0"/>
    <x v="0"/>
    <n v="54.4"/>
    <n v="11"/>
    <s v="N/A"/>
    <n v="35.6"/>
    <s v="Not provided"/>
    <s v="Not provided"/>
    <s v="Florida Legislature"/>
    <s v="Not provided"/>
    <s v="N/A"/>
    <s v="Structural"/>
    <s v="Completed"/>
    <x v="0"/>
    <s v="Provided during BMAP Development"/>
    <s v="Harney-Monroe"/>
    <n v="28.967974000000002"/>
    <n v="-81.252251999999999"/>
    <n v="2010"/>
  </r>
  <r>
    <n v="2145"/>
    <x v="4"/>
    <s v="N/A"/>
    <s v="FDOT-14b"/>
    <s v="79110-xxx4-02 (Pond 1A)"/>
    <s v="Wet detention pond. Credits included in FDOT-14."/>
    <x v="5"/>
    <x v="0"/>
    <x v="0"/>
    <s v="N/A"/>
    <s v="N/A"/>
    <s v="N/A"/>
    <s v="N/A"/>
    <s v="N/A"/>
    <s v="N/A"/>
    <s v="N/A"/>
    <s v="N/A"/>
    <s v="N/A"/>
    <s v="Structural"/>
    <s v="Completed"/>
    <x v="0"/>
    <s v="Provided during BMAP Development"/>
    <s v="Harney-Monroe"/>
    <s v="N/A"/>
    <s v="N/A"/>
    <n v="2010"/>
  </r>
  <r>
    <n v="2146"/>
    <x v="4"/>
    <s v="N/A"/>
    <s v="FDOT-15"/>
    <s v="79110-xxx4-03 (Pond 2 and 2A)"/>
    <s v="Wet detention pond 2 and 2A."/>
    <x v="5"/>
    <x v="0"/>
    <x v="0"/>
    <n v="65.3"/>
    <n v="13.3"/>
    <s v="N/A"/>
    <n v="38.700000000000003"/>
    <s v="Not provided"/>
    <s v="Not provided"/>
    <s v="Florida Legislature"/>
    <s v="Not provided"/>
    <s v="N/A"/>
    <s v="Structural"/>
    <s v="Completed"/>
    <x v="0"/>
    <s v="Provided during BMAP Development"/>
    <s v="Harney-Monroe"/>
    <n v="29.018519000000001"/>
    <n v="-81.229226999999995"/>
    <n v="2010"/>
  </r>
  <r>
    <n v="2147"/>
    <x v="4"/>
    <s v="N/A"/>
    <s v="FDOT-15b"/>
    <s v="79110-xxx4-04 (Pond 2A)"/>
    <s v="Dry detention pond. Credits included in FDOT-15."/>
    <x v="14"/>
    <x v="0"/>
    <x v="0"/>
    <s v="N/A"/>
    <s v="N/A"/>
    <s v="N/A"/>
    <s v="N/A"/>
    <s v="N/A"/>
    <s v="N/A"/>
    <s v="N/A"/>
    <s v="N/A"/>
    <s v="N/A"/>
    <s v="Structural"/>
    <s v="Completed"/>
    <x v="0"/>
    <s v="Provided during BMAP Development"/>
    <s v="Harney-Monroe"/>
    <s v="N/A"/>
    <s v="N/A"/>
    <n v="2010"/>
  </r>
  <r>
    <n v="2148"/>
    <x v="4"/>
    <s v="N/A"/>
    <s v="FDOT-16"/>
    <s v="79110-xxx4-05 (Pond 14)"/>
    <s v="Wet detention pond."/>
    <x v="5"/>
    <x v="0"/>
    <x v="0"/>
    <n v="43.8"/>
    <n v="8"/>
    <s v="N/A"/>
    <n v="24.5"/>
    <s v="Not provided"/>
    <s v="Not provided"/>
    <s v="Florida Legislature"/>
    <s v="Not provided"/>
    <s v="N/A"/>
    <s v="Structural"/>
    <s v="Completed"/>
    <x v="0"/>
    <s v="Provided during BMAP Development"/>
    <s v="Harney-Monroe"/>
    <n v="28.911853000000001"/>
    <n v="-81.270221000000006"/>
    <n v="2010"/>
  </r>
  <r>
    <n v="2149"/>
    <x v="4"/>
    <s v="N/A"/>
    <s v="FDOT-17"/>
    <s v="SR 415 - missing from model"/>
    <s v="Grass swales without swale blocks or raised culverts."/>
    <x v="7"/>
    <x v="0"/>
    <x v="0"/>
    <n v="90.1"/>
    <n v="28.3"/>
    <s v="N/A"/>
    <n v="133.9"/>
    <s v="Not provided"/>
    <s v="Not provided"/>
    <s v="Florida Legislature"/>
    <s v="Not provided"/>
    <s v="N/A"/>
    <s v="Structural"/>
    <s v="Completed"/>
    <x v="0"/>
    <s v="Provided during BMAP Development"/>
    <s v="Harney-Monroe"/>
    <n v="28.819697000000001"/>
    <n v="-81.185788000000002"/>
    <s v="Not provided"/>
  </r>
  <r>
    <n v="2150"/>
    <x v="4"/>
    <s v="N/A"/>
    <s v="FDOT-18"/>
    <s v="SR 44 - missing from model"/>
    <s v="Grass swales without swale blocks or raised culverts."/>
    <x v="7"/>
    <x v="0"/>
    <x v="0"/>
    <n v="34.1"/>
    <n v="10.5"/>
    <s v="N/A"/>
    <n v="43.5"/>
    <s v="Not provided"/>
    <s v="Not provided"/>
    <s v="Florida Legislature"/>
    <s v="Not provided"/>
    <s v="N/A"/>
    <s v="Structural"/>
    <s v="Completed"/>
    <x v="0"/>
    <s v="Provided during BMAP Development"/>
    <s v="Harney-Monroe"/>
    <n v="29.015217"/>
    <n v="-81.240596999999994"/>
    <s v="Not provided"/>
  </r>
  <r>
    <n v="2151"/>
    <x v="4"/>
    <s v="N/A"/>
    <s v="FDOT-19"/>
    <s v="SR 46 - missing from model"/>
    <s v="Grass swales without swale blocks or raised culverts."/>
    <x v="7"/>
    <x v="0"/>
    <x v="0"/>
    <n v="32.799999999999997"/>
    <n v="7.4"/>
    <s v="N/A"/>
    <n v="48.2"/>
    <s v="Not provided"/>
    <s v="Not provided"/>
    <s v="Florida Legislature"/>
    <s v="Not provided"/>
    <s v="N/A"/>
    <s v="Structural"/>
    <s v="Completed"/>
    <x v="0"/>
    <s v="Provided during BMAP Development"/>
    <s v="Harney-Monroe"/>
    <n v="28.811384"/>
    <n v="-81.358754000000005"/>
    <s v="Not provided"/>
  </r>
  <r>
    <n v="2152"/>
    <x v="4"/>
    <s v="N/A"/>
    <s v="FDOT-20"/>
    <s v="77160-3404-02 (Pond 1-NW)"/>
    <s v="On-line retention BMPs."/>
    <x v="6"/>
    <x v="0"/>
    <x v="13"/>
    <n v="94.2"/>
    <n v="13.4"/>
    <s v="N/A"/>
    <n v="25.5"/>
    <s v="Not provided"/>
    <s v="Not provided"/>
    <s v="Florida Legislature"/>
    <s v="Not provided"/>
    <s v="N/A"/>
    <s v="Structural"/>
    <s v="Completed"/>
    <x v="0"/>
    <s v="Provided during BMAP Development"/>
    <s v="Harney-Monroe"/>
    <n v="28.758368000000001"/>
    <n v="-81.363287"/>
    <n v="2004"/>
  </r>
  <r>
    <n v="2166"/>
    <x v="4"/>
    <s v="N/A"/>
    <s v="FDOT-21"/>
    <s v="77160-3404-06 (Pond pond 4-11)"/>
    <s v="Wet detention pond."/>
    <x v="5"/>
    <x v="0"/>
    <x v="13"/>
    <n v="102.5"/>
    <n v="24.4"/>
    <s v="N/A"/>
    <n v="38.5"/>
    <s v="Not provided"/>
    <s v="Not provided"/>
    <s v="Florida Legislature"/>
    <s v="Not provided"/>
    <s v="N/A"/>
    <s v="Structural"/>
    <s v="Completed"/>
    <x v="0"/>
    <s v="Provided during BMAP Development"/>
    <s v="Harney-Monroe"/>
    <n v="28.822102999999998"/>
    <n v="-81.338250000000002"/>
    <n v="2004"/>
  </r>
  <r>
    <n v="2154"/>
    <x v="4"/>
    <s v="N/A"/>
    <s v="FDOT-22"/>
    <s v="77160-3404-05 (Pond pond 4-1)"/>
    <s v="Wet detention pond."/>
    <x v="5"/>
    <x v="0"/>
    <x v="13"/>
    <n v="44.9"/>
    <n v="12.4"/>
    <s v="N/A"/>
    <n v="32.4"/>
    <s v="Not provided"/>
    <s v="Not provided"/>
    <s v="Florida Legislature"/>
    <s v="Not provided"/>
    <s v="N/A"/>
    <s v="Structural"/>
    <s v="Completed"/>
    <x v="0"/>
    <s v="Provided during BMAP Development"/>
    <s v="Harney-Monroe"/>
    <n v="28.817031"/>
    <n v="-81.333803000000003"/>
    <n v="2004"/>
  </r>
  <r>
    <n v="2143"/>
    <x v="4"/>
    <s v="N/A"/>
    <s v="FDOT-23"/>
    <s v="77160-3404-07 (Pond 5)"/>
    <s v="Wet detention pond."/>
    <x v="5"/>
    <x v="0"/>
    <x v="13"/>
    <n v="47.4"/>
    <n v="8.6"/>
    <s v="N/A"/>
    <n v="30.5"/>
    <s v="Not provided"/>
    <s v="Not provided"/>
    <s v="Florida Legislature"/>
    <s v="Not provided"/>
    <s v="N/A"/>
    <s v="Structural"/>
    <s v="Completed"/>
    <x v="0"/>
    <s v="Provided during BMAP Development"/>
    <s v="Harney-Monroe"/>
    <n v="28.823732"/>
    <n v="-81.328095000000005"/>
    <n v="2004"/>
  </r>
  <r>
    <n v="2215"/>
    <x v="4"/>
    <s v="N/A"/>
    <s v="FDOT-24"/>
    <s v="77160 3436 (pond A, A-1)"/>
    <s v="Wet detention pond."/>
    <x v="7"/>
    <x v="0"/>
    <x v="0"/>
    <n v="147.5"/>
    <n v="19.8"/>
    <s v="N/A"/>
    <n v="56.5"/>
    <s v="Not provided"/>
    <s v="Not provided"/>
    <s v="Florida Legislature"/>
    <s v="Not provided"/>
    <s v="N/A"/>
    <s v="Structural"/>
    <s v="Completed"/>
    <x v="0"/>
    <s v="Provided during BMAP Development"/>
    <s v="Harney-Monroe"/>
    <n v="28.831892"/>
    <n v="-81.322642999999999"/>
    <n v="2000"/>
  </r>
  <r>
    <n v="2156"/>
    <x v="4"/>
    <s v="N/A"/>
    <s v="FDOT-25"/>
    <s v="77160-3439-01 (Pond 1)"/>
    <s v="Wet detention pond."/>
    <x v="5"/>
    <x v="0"/>
    <x v="14"/>
    <n v="7.4"/>
    <n v="0.7"/>
    <s v="N/A"/>
    <n v="20.3"/>
    <s v="Not provided"/>
    <s v="Not provided"/>
    <s v="Florida Legislature"/>
    <s v="Not provided"/>
    <s v="N/A"/>
    <s v="Structural"/>
    <s v="Completed"/>
    <x v="0"/>
    <s v="Provided during BMAP Development"/>
    <s v="Harney-Monroe"/>
    <n v="28.783110000000001"/>
    <n v="-81.353210000000004"/>
    <n v="2010"/>
  </r>
  <r>
    <n v="2190"/>
    <x v="4"/>
    <s v="N/A"/>
    <s v="FDOT-26"/>
    <s v="FM 242702 79110-3403-04 &amp; 05 (Pond QQ3 &amp; QQ-5)"/>
    <s v="Wet detention pond."/>
    <x v="5"/>
    <x v="0"/>
    <x v="13"/>
    <n v="56.4"/>
    <n v="11.7"/>
    <s v="N/A"/>
    <n v="47.6"/>
    <s v="Not provided"/>
    <s v="Not provided"/>
    <s v="Florida Legislature"/>
    <s v="Not provided"/>
    <s v="N/A"/>
    <s v="Structural"/>
    <s v="Completed"/>
    <x v="0"/>
    <s v="Provided during BMAP Development"/>
    <s v="Harney-Monroe"/>
    <n v="28.831789000000001"/>
    <n v="-81.325278999999995"/>
    <n v="2001"/>
  </r>
  <r>
    <n v="2157"/>
    <x v="4"/>
    <s v="N/A"/>
    <s v="FDOT-26b"/>
    <s v="FM 242702 79110-3403-04 &amp; 05 (Pond QQ3 &amp; QQ-5)"/>
    <s v="Wet detention pond. Credits included in FDOT-26."/>
    <x v="5"/>
    <x v="0"/>
    <x v="13"/>
    <s v="N/A"/>
    <s v="N/A"/>
    <s v="N/A"/>
    <s v="N/A"/>
    <s v="N/A"/>
    <s v="N/A"/>
    <s v="N/A"/>
    <s v="N/A"/>
    <s v="N/A"/>
    <s v="Structural"/>
    <s v="Completed"/>
    <x v="0"/>
    <s v="Provided during BMAP Development"/>
    <s v="Harney-Monroe"/>
    <s v="N/A"/>
    <s v="N/A"/>
    <n v="2001"/>
  </r>
  <r>
    <n v="2158"/>
    <x v="4"/>
    <s v="N/A"/>
    <s v="FDOT-27"/>
    <s v="FM 242702 79110-3403-06 (RR-3)"/>
    <s v="Wet detention pond."/>
    <x v="5"/>
    <x v="0"/>
    <x v="13"/>
    <n v="68.099999999999994"/>
    <n v="16.899999999999999"/>
    <s v="N/A"/>
    <n v="53.1"/>
    <s v="Not provided"/>
    <s v="Not provided"/>
    <s v="Florida Legislature"/>
    <s v="Not provided"/>
    <s v="N/A"/>
    <s v="Structural"/>
    <s v="Completed"/>
    <x v="0"/>
    <s v="Provided during BMAP Development"/>
    <s v="Harney-Monroe"/>
    <n v="28.846799000000001"/>
    <n v="-81.312730000000002"/>
    <n v="2001"/>
  </r>
  <r>
    <n v="2220"/>
    <x v="4"/>
    <s v="N/A"/>
    <s v="FDOT-28"/>
    <s v="FM 242702 79110-3403-07 (Pond SS-2)"/>
    <s v="Wet detention pond."/>
    <x v="5"/>
    <x v="0"/>
    <x v="14"/>
    <n v="91.9"/>
    <n v="26.3"/>
    <s v="N/A"/>
    <n v="87.5"/>
    <s v="Not provided"/>
    <s v="Not provided"/>
    <s v="Florida Legislature"/>
    <s v="Not provided"/>
    <s v="N/A"/>
    <s v="Structural"/>
    <s v="Completed"/>
    <x v="0"/>
    <s v="Provided during BMAP Development"/>
    <s v="Harney-Monroe"/>
    <n v="28.873902000000001"/>
    <n v="-81.284953000000002"/>
    <n v="2001"/>
  </r>
  <r>
    <n v="2230"/>
    <x v="4"/>
    <s v="N/A"/>
    <s v="FDOT-29"/>
    <s v="FM  242702 Roadside Swale"/>
    <s v="Grass swales without swale blocks or raised culverts."/>
    <x v="7"/>
    <x v="0"/>
    <x v="13"/>
    <n v="93.8"/>
    <n v="13.5"/>
    <s v="N/A"/>
    <n v="35"/>
    <s v="Not provided"/>
    <s v="Not provided"/>
    <s v="Florida Legislature"/>
    <s v="Not provided"/>
    <s v="N/A"/>
    <s v="Structural"/>
    <s v="Completed"/>
    <x v="0"/>
    <s v="Provided during BMAP Development"/>
    <s v="Harney-Monroe"/>
    <n v="28.85867"/>
    <n v="-81.296009999999995"/>
    <n v="2001"/>
  </r>
  <r>
    <n v="2222"/>
    <x v="4"/>
    <s v="N/A"/>
    <s v="FDOT-30"/>
    <s v="FM  242702 Roadside Swale"/>
    <s v="Grass swales without swale blocks or raised culverts."/>
    <x v="7"/>
    <x v="0"/>
    <x v="14"/>
    <n v="39.5"/>
    <n v="5.7"/>
    <s v="N/A"/>
    <n v="13.3"/>
    <s v="Not provided"/>
    <s v="Not provided"/>
    <s v="Florida Legislature"/>
    <s v="Not provided"/>
    <s v="N/A"/>
    <s v="Structural"/>
    <s v="Completed"/>
    <x v="0"/>
    <s v="Provided during BMAP Development"/>
    <s v="Harney-Monroe"/>
    <n v="28.867899999999999"/>
    <n v="-81.286510000000007"/>
    <n v="2001"/>
  </r>
  <r>
    <n v="2218"/>
    <x v="4"/>
    <s v="N/A"/>
    <s v="FDOT-31"/>
    <s v="SR 415 - missing from model"/>
    <s v="Grass swales without swale blocks or raised culverts."/>
    <x v="7"/>
    <x v="0"/>
    <x v="0"/>
    <n v="39.1"/>
    <n v="8.5"/>
    <s v="N/A"/>
    <n v="65.099999999999994"/>
    <s v="Not provided"/>
    <s v="Not provided"/>
    <s v="Florida Legislature"/>
    <s v="Not provided"/>
    <s v="N/A"/>
    <s v="Structural"/>
    <s v="Completed"/>
    <x v="0"/>
    <s v="Provided during BMAP Development"/>
    <s v="Harney-Monroe"/>
    <n v="28.864674000000001"/>
    <n v="-81.162205"/>
    <s v="Not provided"/>
  </r>
  <r>
    <n v="2233"/>
    <x v="4"/>
    <s v="N/A"/>
    <s v="FDOT-32"/>
    <s v="Education Efforts"/>
    <s v="Education efforts."/>
    <x v="2"/>
    <x v="0"/>
    <x v="1"/>
    <n v="101.1"/>
    <n v="13.3"/>
    <s v="N/A"/>
    <s v="N/A"/>
    <s v="Not provided"/>
    <s v="Not provided"/>
    <s v="Florida Legislature"/>
    <s v="Not provided"/>
    <s v="N/A"/>
    <s v="Non-structural"/>
    <s v="Completed"/>
    <x v="0"/>
    <s v="Provided during BMAP Development"/>
    <s v="Harney-Monroe"/>
    <s v="N/A"/>
    <s v="N/A"/>
    <n v="2004"/>
  </r>
  <r>
    <n v="2237"/>
    <x v="4"/>
    <s v="N/A"/>
    <s v="FDOT-33"/>
    <s v="Street Sweeping"/>
    <s v="Street sweeping."/>
    <x v="15"/>
    <x v="0"/>
    <x v="1"/>
    <n v="410"/>
    <n v="263"/>
    <s v="N/A"/>
    <s v="N/A"/>
    <s v="Not provided"/>
    <s v="Not provided"/>
    <s v="Florida Legislature"/>
    <s v="Not provided"/>
    <s v="N/A"/>
    <s v="Non-structural"/>
    <s v="Completed"/>
    <x v="0"/>
    <s v="Provided during BMAP Development"/>
    <s v="Harney-Monroe"/>
    <s v="N/A"/>
    <s v="N/A"/>
    <n v="2004"/>
  </r>
  <r>
    <n v="2223"/>
    <x v="4"/>
    <s v="N/A"/>
    <s v="FDOT-34"/>
    <s v="Noncontributing Area in DeBary"/>
    <s v="Noncontributing area in DeBary."/>
    <x v="0"/>
    <x v="0"/>
    <x v="1"/>
    <n v="194.9"/>
    <n v="27.9"/>
    <s v="N/A"/>
    <n v="39.200000000000003"/>
    <s v="Not provided"/>
    <s v="N/A"/>
    <s v="Florida Legislature"/>
    <s v="Not provided"/>
    <s v="N/A"/>
    <s v="Non-structural"/>
    <s v="Underway"/>
    <x v="0"/>
    <s v="See DEP Model"/>
    <s v="Harney-Monroe"/>
    <s v="N/A"/>
    <s v="N/A"/>
    <s v="N/A"/>
  </r>
  <r>
    <n v="2219"/>
    <x v="4"/>
    <s v="N/A"/>
    <s v="FDOT-35"/>
    <s v="Noncontributing Area in Volusia County"/>
    <s v="Noncontributing area in Volusia County."/>
    <x v="0"/>
    <x v="0"/>
    <x v="1"/>
    <n v="117.6"/>
    <n v="19"/>
    <s v="N/A"/>
    <n v="22.7"/>
    <s v="Not provided"/>
    <s v="N/A"/>
    <s v="Florida Legislature"/>
    <s v="Not provided"/>
    <s v="N/A"/>
    <s v="Non-structural"/>
    <s v="Underway"/>
    <x v="0"/>
    <s v="See DEP Model"/>
    <s v="Harney-Monroe"/>
    <s v="N/A"/>
    <s v="N/A"/>
    <s v="N/A"/>
  </r>
  <r>
    <n v="2193"/>
    <x v="4"/>
    <s v="N/A"/>
    <s v="FDOT-36"/>
    <s v="SR 415 – Pond A (built under 407355-1)"/>
    <s v="Wet detention pond."/>
    <x v="5"/>
    <x v="0"/>
    <x v="10"/>
    <n v="6.8"/>
    <n v="1.5"/>
    <s v="N/A"/>
    <n v="4.3"/>
    <s v="Not provided"/>
    <s v="Not provided"/>
    <s v="Florida Legislature"/>
    <s v="Not provided"/>
    <s v="N/A"/>
    <s v="Structural"/>
    <s v="Underway"/>
    <x v="0"/>
    <s v="Provided during BMAP Development"/>
    <s v="Harney-Monroe"/>
    <n v="28.798333329999998"/>
    <n v="81.209166670000002"/>
    <n v="2012"/>
  </r>
  <r>
    <n v="2142"/>
    <x v="4"/>
    <s v="N/A"/>
    <s v="FDOT-37"/>
    <s v="FM: 407355-3 SR 415 – Pond B"/>
    <s v="Wet detention pond."/>
    <x v="5"/>
    <x v="0"/>
    <x v="10"/>
    <n v="7.9"/>
    <n v="0.8"/>
    <s v="N/A"/>
    <n v="8.5"/>
    <s v="Not provided"/>
    <s v="Not provided"/>
    <s v="Florida Legislature"/>
    <s v="Not provided"/>
    <s v="N/A"/>
    <s v="Structural"/>
    <s v="Underway"/>
    <x v="0"/>
    <s v="Provided during BMAP Development"/>
    <s v="Harney-Monroe"/>
    <n v="28.797644439999999"/>
    <n v="-81.213611110000002"/>
    <n v="2012"/>
  </r>
  <r>
    <n v="2194"/>
    <x v="4"/>
    <s v="N/A"/>
    <s v="FDOT-38"/>
    <s v="SR 415 – Exfiltration Trench"/>
    <s v="Exfilitration trench."/>
    <x v="6"/>
    <x v="0"/>
    <x v="10"/>
    <n v="11.6"/>
    <n v="0.4"/>
    <s v="N/A"/>
    <n v="22"/>
    <s v="Not provided"/>
    <s v="Not provided"/>
    <s v="Florida Legislature"/>
    <s v="Not provided"/>
    <s v="N/A"/>
    <s v="Structural"/>
    <s v="Underway"/>
    <x v="0"/>
    <s v="Provided during BMAP Development"/>
    <s v="Harney-Monroe"/>
    <n v="28.80705"/>
    <n v="-81.207499999999996"/>
    <n v="2012"/>
  </r>
  <r>
    <n v="2195"/>
    <x v="4"/>
    <s v="N/A"/>
    <s v="FDOT-39"/>
    <s v="FM: 407355-3 SR 415 – Pond H (in database as Pond 1)"/>
    <s v="Wet detention pond."/>
    <x v="5"/>
    <x v="0"/>
    <x v="10"/>
    <n v="10.199999999999999"/>
    <n v="2.4"/>
    <s v="N/A"/>
    <n v="9.9"/>
    <s v="Not provided"/>
    <s v="Not provided"/>
    <s v="Florida Legislature"/>
    <s v="Not provided"/>
    <s v="N/A"/>
    <s v="Structural"/>
    <s v="Underway"/>
    <x v="0"/>
    <s v="Provided during BMAP Development"/>
    <s v="Harney-Monroe"/>
    <n v="28.816800000000001"/>
    <n v="-81.185833329999994"/>
    <n v="2012"/>
  </r>
  <r>
    <n v="2205"/>
    <x v="4"/>
    <s v="N/A"/>
    <s v="FDOT-40"/>
    <s v="FM: 240216-2 SR 46 – Pond 1 (possibly modified and built by others)"/>
    <s v="Wet detention pond."/>
    <x v="5"/>
    <x v="0"/>
    <x v="3"/>
    <n v="25.8"/>
    <n v="6.3"/>
    <s v="N/A"/>
    <n v="18"/>
    <s v="Not provided"/>
    <s v="Not provided"/>
    <s v="Florida Legislature"/>
    <s v="Not provided"/>
    <s v="N/A"/>
    <s v="Structural"/>
    <s v="Not Started (funded for 2018)"/>
    <x v="0"/>
    <s v="Provided during BMAP Development"/>
    <s v="Harney-Monroe"/>
    <n v="28.78944722"/>
    <n v="-81.246944439999993"/>
    <n v="2012"/>
  </r>
  <r>
    <n v="2196"/>
    <x v="4"/>
    <s v="N/A"/>
    <s v="FDOT-41"/>
    <s v="Fertilizer Cessation"/>
    <s v="Elimination of fertilizer use along state highway system.  Removal of TN &amp; TP loading."/>
    <x v="16"/>
    <x v="0"/>
    <x v="10"/>
    <n v="712"/>
    <n v="0"/>
    <s v="N/A"/>
    <n v="278.38"/>
    <s v="Not provided"/>
    <s v="N/A"/>
    <s v="Florida Legislature"/>
    <s v="Not provided"/>
    <s v="N/A"/>
    <s v="Non-structural"/>
    <s v="Completed"/>
    <x v="6"/>
    <s v="Provided during BMAP Development"/>
    <s v="Harney-Monroe"/>
    <s v="N/A"/>
    <s v="N/A"/>
    <n v="2012"/>
  </r>
  <r>
    <n v="2221"/>
    <x v="4"/>
    <s v="N/A"/>
    <s v="FDOT-42"/>
    <s v="FM: 408464 SR 400 Widening (from SR 44 to East of I-95)"/>
    <s v="Basin B Pond B."/>
    <x v="5"/>
    <x v="0"/>
    <x v="10"/>
    <n v="51.8"/>
    <n v="1.1000000000000001"/>
    <s v="N/A"/>
    <n v="15.74"/>
    <s v="Not provided"/>
    <s v="Not provided"/>
    <s v="Florida Legislature"/>
    <s v="Not provided"/>
    <s v="N/A"/>
    <s v="Structural"/>
    <s v="Completed"/>
    <x v="6"/>
    <s v="Provided during BMAP Development"/>
    <s v="Harney-Monroe"/>
    <n v="29.036000000000001"/>
    <n v="-81.212999999999994"/>
    <n v="2012"/>
  </r>
  <r>
    <n v="2197"/>
    <x v="4"/>
    <s v="N/A"/>
    <s v="FDOT-43"/>
    <s v="FM: 408464 SR 400 Widening (from SR 44 to East of I-95)"/>
    <s v="Basin E Pond E."/>
    <x v="5"/>
    <x v="0"/>
    <x v="10"/>
    <n v="59.1"/>
    <n v="1.4"/>
    <s v="N/A"/>
    <n v="15.88"/>
    <s v="Not provided"/>
    <s v="Not provided"/>
    <s v="Florida Legislature"/>
    <s v="Not provided"/>
    <s v="N/A"/>
    <s v="Structural"/>
    <s v="Completed"/>
    <x v="6"/>
    <s v="Provided during BMAP Development"/>
    <s v="Harney-Monroe"/>
    <n v="29.064"/>
    <n v="-81.186999999999998"/>
    <n v="2012"/>
  </r>
  <r>
    <n v="5251"/>
    <x v="4"/>
    <s v="N/A"/>
    <s v="FDOT-44"/>
    <s v="FM: 240200-3-52-01"/>
    <s v="SR 46 (Wekiva Parkway) from Orange Blvd. to N. Oregon St./Wayside Dr."/>
    <x v="5"/>
    <x v="2"/>
    <x v="15"/>
    <n v="17.600000000000001"/>
    <n v="6.6"/>
    <s v="N/A"/>
    <n v="18.68"/>
    <s v="Not provided"/>
    <s v="Not provided"/>
    <s v="Florida Legislature"/>
    <s v="Not provided"/>
    <s v="N/A"/>
    <s v="Structural"/>
    <s v="Underway"/>
    <x v="2"/>
    <s v="Provided in 2019 project collection"/>
    <s v="Harney-Monroe"/>
    <n v="28.808909"/>
    <n v="-81.346625000000003"/>
    <s v="Not provided"/>
  </r>
  <r>
    <n v="2198"/>
    <x v="5"/>
    <s v="Not provided"/>
    <s v="LH-01"/>
    <s v="Education Efforts"/>
    <s v="Irrigation ordinance, pet waste ordinance, pamphlets, website."/>
    <x v="2"/>
    <x v="0"/>
    <x v="1"/>
    <n v="30.8"/>
    <n v="4.5"/>
    <s v="N/A"/>
    <s v="N/A"/>
    <s v="Not provided"/>
    <s v="Not provided"/>
    <s v="Not provided"/>
    <s v="Not provided"/>
    <s v="N/A"/>
    <s v="Non-structural"/>
    <s v="Completed"/>
    <x v="0"/>
    <s v="Not provided"/>
    <s v="Harney-Monroe"/>
    <s v="N/A"/>
    <s v="N/A"/>
    <s v="Not provided"/>
  </r>
  <r>
    <n v="4383"/>
    <x v="5"/>
    <s v="Volusia County"/>
    <s v="LH-02"/>
    <s v="Main Street Exfiltration"/>
    <s v="Retrofit project to treat runoff from the Main Street drainage basin prior to discharging to Lake Helen."/>
    <x v="17"/>
    <x v="0"/>
    <x v="16"/>
    <s v="Not provided"/>
    <s v="Not provided"/>
    <s v="N/A"/>
    <n v="5.7"/>
    <s v="Not provided"/>
    <s v="Not provided"/>
    <s v="Not provided"/>
    <s v="Not provided"/>
    <s v="N/A"/>
    <s v="Structural"/>
    <s v="Completed"/>
    <x v="7"/>
    <s v="Not provided"/>
    <s v="Harney-Monroe"/>
    <s v="Not provided"/>
    <s v="Not provided"/>
    <s v="Not provided"/>
  </r>
  <r>
    <n v="4384"/>
    <x v="5"/>
    <s v="Volusia County"/>
    <s v="LH-03"/>
    <s v="Connecticut Avenue Exfiltration"/>
    <s v="Retrofit project to treat runoff from the Connecticut Avenue drainage basin prior to discharging to Lake Helen."/>
    <x v="17"/>
    <x v="0"/>
    <x v="16"/>
    <s v="Not provided"/>
    <s v="Not provided"/>
    <s v="N/A"/>
    <n v="3.2"/>
    <s v="Not provided"/>
    <s v="Not provided"/>
    <s v="Not provided"/>
    <s v="Not provided"/>
    <s v="N/A"/>
    <s v="Structural"/>
    <s v="Completed"/>
    <x v="7"/>
    <s v="Not provided"/>
    <s v="Harney-Monroe"/>
    <s v="Not provided"/>
    <s v="Not provided"/>
    <s v="Not provided"/>
  </r>
  <r>
    <n v="4385"/>
    <x v="5"/>
    <s v="Volusia County"/>
    <s v="LH-04"/>
    <s v="Tangerine Avenue Bioswale"/>
    <s v="Retrofit project to treat runoff from the Tangerine drainage basin prior to discharging to Lake Helen."/>
    <x v="7"/>
    <x v="2"/>
    <x v="17"/>
    <s v="TBD"/>
    <s v="TBD"/>
    <s v="N/A"/>
    <n v="1.5"/>
    <n v="40000"/>
    <n v="3000"/>
    <s v="City of Lake Helen"/>
    <s v="Not provided"/>
    <s v="N/A"/>
    <s v="Structural"/>
    <s v="Underway"/>
    <x v="7"/>
    <s v="Not provided"/>
    <s v="Harney-Monroe"/>
    <s v="Not provided"/>
    <s v="Not provided"/>
    <s v="Not provided"/>
  </r>
  <r>
    <n v="2199"/>
    <x v="6"/>
    <s v="Seminole County"/>
    <s v="LM-01"/>
    <s v="Education Efforts"/>
    <s v="FYN, landscape ordinance, irrigation ordinance, pet waste ordinance, PSAs, pamphlets, website, illicit discharge program."/>
    <x v="2"/>
    <x v="0"/>
    <x v="1"/>
    <n v="361.5"/>
    <n v="52.2"/>
    <s v="N/A"/>
    <s v="N/A"/>
    <s v="N/A"/>
    <n v="5500"/>
    <s v="City of Lake Mary Stormwater Fund"/>
    <n v="5500"/>
    <s v="N/A"/>
    <s v="Non-structural"/>
    <s v="Completed"/>
    <x v="0"/>
    <s v="Not provided"/>
    <s v="Harney-Monroe"/>
    <s v="N/A"/>
    <s v="N/A"/>
    <s v="10/2012"/>
  </r>
  <r>
    <n v="2200"/>
    <x v="6"/>
    <s v="N/A"/>
    <s v="LM-02"/>
    <s v="Street Sweeping"/>
    <s v="Sweeping of 53.58 curb miles per year."/>
    <x v="15"/>
    <x v="0"/>
    <x v="1"/>
    <n v="9.6"/>
    <n v="6.4"/>
    <s v="N/A"/>
    <s v="N/A"/>
    <s v="N/A"/>
    <n v="13000"/>
    <s v="City of Lake Mary Stormwater Fund"/>
    <n v="13000"/>
    <s v="N/A"/>
    <s v="Non-structural"/>
    <s v="Completed"/>
    <x v="0"/>
    <s v="Not provided"/>
    <s v="Harney-Monroe"/>
    <s v="N/A"/>
    <s v="N/A"/>
    <s v="10/2012"/>
  </r>
  <r>
    <n v="2201"/>
    <x v="7"/>
    <s v="N/A"/>
    <s v="OC-01"/>
    <s v="Education Efforts"/>
    <s v="Irrigation ordinance, pamphlets, website, illicit discharge program."/>
    <x v="2"/>
    <x v="0"/>
    <x v="1"/>
    <n v="6"/>
    <n v="1"/>
    <s v="N/A"/>
    <s v="N/A"/>
    <s v="Not provided"/>
    <s v="Not provided"/>
    <s v="Not provided"/>
    <s v="Not provided"/>
    <s v="N/A"/>
    <s v="Non-structural"/>
    <s v="Completed"/>
    <x v="0"/>
    <s v="Not provided"/>
    <s v="Harney-Monroe"/>
    <s v="N/A"/>
    <s v="N/A"/>
    <s v="Not provided"/>
  </r>
  <r>
    <n v="5252"/>
    <x v="7"/>
    <s v="N/A"/>
    <s v="OC-02"/>
    <s v="Stormwater Inlet Cleaning and Maintenance"/>
    <s v="Municipal operation pollution prevention and good housekeeping which occurs annually."/>
    <x v="4"/>
    <x v="0"/>
    <x v="1"/>
    <n v="7"/>
    <n v="3"/>
    <s v="N/A"/>
    <s v="N/A"/>
    <n v="20000"/>
    <n v="18687"/>
    <s v="Orange City"/>
    <n v="18687"/>
    <s v="N/A"/>
    <s v="Non-structural"/>
    <s v="Completed"/>
    <x v="2"/>
    <s v="N/A"/>
    <s v="Harney-Monroe"/>
    <s v="N/A"/>
    <s v="N/A"/>
    <s v="Not provided"/>
  </r>
  <r>
    <n v="2202"/>
    <x v="8"/>
    <s v="DEP/ HUD"/>
    <s v="S-01"/>
    <s v="Cloud Branch Phase I"/>
    <s v="Drainage/water quality improvements."/>
    <x v="5"/>
    <x v="0"/>
    <x v="11"/>
    <n v="647.29999999999995"/>
    <n v="173.9"/>
    <s v="N/A"/>
    <n v="187"/>
    <n v="3491375"/>
    <s v="Not provided"/>
    <s v="City/ Stormwater Utility/ DEP SRF"/>
    <s v="Not provided"/>
    <s v="Not provided"/>
    <s v="Structural"/>
    <s v="Completed"/>
    <x v="0"/>
    <s v="Previously Provided"/>
    <s v="Harney-Monroe"/>
    <n v="28.799714999999999"/>
    <n v="-81.277439999999999"/>
    <s v="Not provided"/>
  </r>
  <r>
    <n v="2217"/>
    <x v="8"/>
    <s v="DEP"/>
    <s v="S-02"/>
    <s v="Cloud Branch Phase II"/>
    <s v="Drainage/water quality improvements."/>
    <x v="5"/>
    <x v="0"/>
    <x v="11"/>
    <n v="1390.1"/>
    <n v="405.6"/>
    <s v="N/A"/>
    <n v="379.7"/>
    <n v="3072693"/>
    <s v="Not provided"/>
    <s v="City/ Stormwater Utility/ DEP SRF"/>
    <s v="Not provided"/>
    <s v="Not provided"/>
    <s v="Structural"/>
    <s v="Completed"/>
    <x v="0"/>
    <s v="Previously Provided"/>
    <s v="Harney-Monroe"/>
    <n v="28.803953"/>
    <n v="-81.278460999999993"/>
    <s v="Not provided"/>
  </r>
  <r>
    <n v="2204"/>
    <x v="8"/>
    <s v="N/A"/>
    <s v="S-03"/>
    <s v="Street Sweeping"/>
    <s v="Street sweeping throughout the city."/>
    <x v="15"/>
    <x v="0"/>
    <x v="1"/>
    <n v="8866.5"/>
    <n v="3993.3"/>
    <s v="N/A"/>
    <s v="N/A"/>
    <s v="N/A"/>
    <n v="170544"/>
    <s v="City/ Stormwater Utility"/>
    <s v="N/A"/>
    <s v="N/A"/>
    <s v="Non-structural"/>
    <s v="Ongoing"/>
    <x v="0"/>
    <s v="Not provided"/>
    <s v="Harney-Monroe"/>
    <s v="N/A"/>
    <s v="N/A"/>
    <s v="Not provided"/>
  </r>
  <r>
    <n v="2192"/>
    <x v="8"/>
    <s v="Seminole County"/>
    <s v="S-04"/>
    <s v="Education Efforts"/>
    <s v="FYN, landscaping ordinance, irrigation ordinance, PSAs, pamphlets, website, illicit discharge program."/>
    <x v="2"/>
    <x v="0"/>
    <x v="1"/>
    <n v="2069.9"/>
    <n v="324.5"/>
    <s v="N/A"/>
    <s v="N/A"/>
    <s v="N/A"/>
    <n v="2000"/>
    <s v="City/ Stormwater Utility"/>
    <s v="N/A"/>
    <s v="N/A"/>
    <s v="Non-structural"/>
    <s v="Ongoing"/>
    <x v="0"/>
    <s v="Not provided"/>
    <s v="Harney-Monroe"/>
    <s v="N/A"/>
    <s v="N/A"/>
    <s v="Not provided"/>
  </r>
  <r>
    <n v="2206"/>
    <x v="8"/>
    <s v="N/A"/>
    <s v="S-05"/>
    <s v="Sanford Avenue Baffle Box"/>
    <s v="2nd generation baffle box."/>
    <x v="18"/>
    <x v="0"/>
    <x v="9"/>
    <n v="5.5"/>
    <n v="0.7"/>
    <s v="N/A"/>
    <s v="N/A"/>
    <n v="2400000"/>
    <s v="Not provided"/>
    <s v="City/ Storwmater Utility/ Community Redevelopment Agency (CRA)"/>
    <s v="Not provided"/>
    <s v="N/A"/>
    <s v="Structural"/>
    <s v="Completed"/>
    <x v="5"/>
    <s v="KMZ"/>
    <s v="Harney-Monroe"/>
    <n v="28.810718000000001"/>
    <n v="-81.264882999999998"/>
    <s v="Not provided"/>
  </r>
  <r>
    <n v="2207"/>
    <x v="8"/>
    <s v="DEP"/>
    <s v="S-06"/>
    <s v="Mill Creek Wet Detention Pond"/>
    <s v="Wet detention pond."/>
    <x v="5"/>
    <x v="0"/>
    <x v="13"/>
    <n v="1465.6"/>
    <n v="433.8"/>
    <s v="N/A"/>
    <n v="412.1"/>
    <n v="2085959"/>
    <s v="Not provided"/>
    <s v="City/ Stormwater Utility/ DEP SRF"/>
    <s v="Not provided"/>
    <s v="Not provided"/>
    <s v="Structural"/>
    <s v="Completed"/>
    <x v="5"/>
    <s v="Previously Provided"/>
    <s v="Harney-Monroe"/>
    <n v="28.793465999999999"/>
    <n v="-81.286377000000002"/>
    <s v="Not provided"/>
  </r>
  <r>
    <n v="2208"/>
    <x v="8"/>
    <s v="HUD"/>
    <s v="S-07"/>
    <s v="Baffle Boxes on 2nd St."/>
    <s v="1st generation baffle boxes."/>
    <x v="19"/>
    <x v="0"/>
    <x v="18"/>
    <n v="9"/>
    <n v="6.7"/>
    <s v="N/A"/>
    <n v="200.1"/>
    <n v="1891082"/>
    <s v="Not provided"/>
    <s v="City/ Stormwater Utility/ DEP SRF/ Community Development Block Grant (CDBG)"/>
    <s v="Not provided"/>
    <s v="Not provided"/>
    <s v="Structural"/>
    <s v="Completed"/>
    <x v="5"/>
    <s v="Previously Provided"/>
    <s v="Harney-Monroe"/>
    <n v="28.810824"/>
    <n v="-81.266910999999993"/>
    <s v="Not provided"/>
  </r>
  <r>
    <n v="2209"/>
    <x v="8"/>
    <s v="DEP"/>
    <s v="S-08"/>
    <s v="WWTP Reclaimed Water Nutrient Reduction"/>
    <s v="Upgrade to WWTP treatment process that will reduce the concentration of TN from 20mg/L to 4 mg/L and TP from 4mg/L to 1 mg/L in the reclaimed water; 0.376 MGD to Lake Monroe directly."/>
    <x v="20"/>
    <x v="2"/>
    <x v="19"/>
    <n v="9992.1059999999998"/>
    <n v="749.55600000000004"/>
    <s v="N/A"/>
    <s v="Not provided"/>
    <n v="16000000"/>
    <n v="100000"/>
    <s v="City/ DEP SRF"/>
    <s v="Not provided"/>
    <s v="Not provided"/>
    <s v="Structural"/>
    <s v="Planned &amp; Funded"/>
    <x v="1"/>
    <s v="N/A"/>
    <s v="Harney-Monroe"/>
    <n v="28.815211999999999"/>
    <n v="-81.283153999999996"/>
    <n v="2017"/>
  </r>
  <r>
    <n v="2203"/>
    <x v="9"/>
    <s v="Not provided"/>
    <s v="SC-01"/>
    <s v="Club II RSF"/>
    <s v="RSF to collect and treat stormwater runoff."/>
    <x v="5"/>
    <x v="0"/>
    <x v="11"/>
    <n v="1333.3"/>
    <n v="395.6"/>
    <s v="N/A"/>
    <n v="422.7"/>
    <n v="2334682"/>
    <n v="20095"/>
    <s v="Not provided"/>
    <s v="Not provided"/>
    <s v="N/A"/>
    <s v="Structural"/>
    <s v="Completed"/>
    <x v="0"/>
    <s v="Not provided"/>
    <s v="Harney-Monroe"/>
    <s v="Not provided"/>
    <s v="Not provided"/>
    <s v="Not provided"/>
  </r>
  <r>
    <n v="2210"/>
    <x v="9"/>
    <s v="Not provided"/>
    <s v="SC-02"/>
    <s v="Midway RSF"/>
    <s v="RSF to collect and treat stormwater runoff."/>
    <x v="5"/>
    <x v="0"/>
    <x v="20"/>
    <n v="408.4"/>
    <n v="118.4"/>
    <s v="N/A"/>
    <n v="121.8"/>
    <n v="2163151"/>
    <n v="26662"/>
    <s v="Not provided"/>
    <s v="Not provided"/>
    <s v="N/A"/>
    <s v="Structural"/>
    <s v="Completed"/>
    <x v="0"/>
    <s v="Not provided"/>
    <s v="Harney-Monroe"/>
    <s v="Not provided"/>
    <s v="Not provided"/>
    <s v="Not provided"/>
  </r>
  <r>
    <n v="2216"/>
    <x v="9"/>
    <s v="Not provided"/>
    <s v="SC-03"/>
    <s v="Elder RSF"/>
    <s v="RSF to collect and treat stormwater runoff."/>
    <x v="5"/>
    <x v="0"/>
    <x v="11"/>
    <n v="519.20000000000005"/>
    <n v="134.4"/>
    <s v="N/A"/>
    <n v="229.7"/>
    <n v="3884496"/>
    <n v="19251"/>
    <s v="Not provided"/>
    <s v="Not provided"/>
    <s v="N/A"/>
    <s v="Structural"/>
    <s v="Completed"/>
    <x v="0"/>
    <s v="Not provided"/>
    <s v="Harney-Monroe"/>
    <s v="Not provided"/>
    <s v="Not provided"/>
    <s v="Not provided"/>
  </r>
  <r>
    <n v="2214"/>
    <x v="9"/>
    <s v="Not provided"/>
    <s v="SC-04"/>
    <s v="Lockhart RSF"/>
    <s v="RSF to collect and treat stormwater runoff."/>
    <x v="5"/>
    <x v="0"/>
    <x v="11"/>
    <n v="3201.1"/>
    <n v="840.1"/>
    <s v="N/A"/>
    <n v="2757"/>
    <n v="3504755"/>
    <s v="Not provided"/>
    <s v="Not provided"/>
    <s v="Not provided"/>
    <s v="N/A"/>
    <s v="Structural"/>
    <s v="Completed"/>
    <x v="0"/>
    <s v="Not provided"/>
    <s v="Harney-Monroe"/>
    <s v="Not provided"/>
    <s v="Not provided"/>
    <s v="Not provided"/>
  </r>
  <r>
    <n v="2213"/>
    <x v="9"/>
    <s v="Not provided"/>
    <s v="SC-05"/>
    <s v="Street Sweeping"/>
    <s v="Street sweeping throughout the county."/>
    <x v="15"/>
    <x v="0"/>
    <x v="1"/>
    <n v="300"/>
    <n v="135.1"/>
    <s v="N/A"/>
    <s v="N/A"/>
    <s v="Not provided"/>
    <s v="Not provided"/>
    <s v="Not provided"/>
    <s v="Not provided"/>
    <s v="N/A"/>
    <s v="Non-structural"/>
    <s v="Completed"/>
    <x v="0"/>
    <s v="Not provided"/>
    <s v="Harney-Monroe"/>
    <s v="N/A"/>
    <s v="N/A"/>
    <s v="Not provided"/>
  </r>
  <r>
    <n v="2212"/>
    <x v="9"/>
    <s v="Not provided"/>
    <s v="SC-06"/>
    <s v="Education Efforts"/>
    <s v="FYN, landscaping ordinance, irrigation ordinance, pet waste ordinance, PSAs, pamphlets, website, illicit discharge program."/>
    <x v="2"/>
    <x v="0"/>
    <x v="1"/>
    <n v="1875.8"/>
    <n v="282.3"/>
    <s v="N/A"/>
    <s v="N/A"/>
    <s v="Not provided"/>
    <s v="Not provided"/>
    <s v="Not provided"/>
    <s v="Not provided"/>
    <s v="N/A"/>
    <s v="Non-structural"/>
    <s v="Completed"/>
    <x v="0"/>
    <s v="Not provided"/>
    <s v="Harney-Monroe"/>
    <s v="N/A"/>
    <s v="N/A"/>
    <s v="Not provided"/>
  </r>
  <r>
    <n v="2211"/>
    <x v="9"/>
    <s v="Altamonte/ Casselberry/ Lake Mary/ Longwood/ Oviedo"/>
    <s v="SC-07"/>
    <s v="Seminole County Fertilizer Ordinance"/>
    <s v="Reduction of Nitrogen and Phosporus sources, through public education and restrtictions on usage."/>
    <x v="1"/>
    <x v="0"/>
    <x v="1"/>
    <s v="TBD"/>
    <s v="N/A"/>
    <s v="N/A"/>
    <n v="14267"/>
    <n v="150000"/>
    <n v="65000"/>
    <s v="Ad valorem taxes/ FFL cost shares"/>
    <s v="City - $28,000/ County - $37,000"/>
    <s v="NF034"/>
    <s v="Non-structural"/>
    <s v="Completed"/>
    <x v="1"/>
    <s v="Adopted ordinance, leaching calculations"/>
    <s v="Harney-Monroe"/>
    <s v="N/A"/>
    <s v="N/A"/>
    <d v="2018-10-01T00:00:00"/>
  </r>
  <r>
    <n v="2232"/>
    <x v="9"/>
    <s v="Not provided"/>
    <s v="SC-08"/>
    <s v="Midway Phase II, Ditch Diversion"/>
    <s v="Addition of a ditch bottom inlet and regrading to route untreated runoff into Pond 4 of the existing RSF."/>
    <x v="5"/>
    <x v="0"/>
    <x v="10"/>
    <n v="175"/>
    <n v="35"/>
    <s v="N/A"/>
    <n v="25"/>
    <n v="59300"/>
    <s v="Not provided"/>
    <s v="Not provided"/>
    <s v="Not provided"/>
    <s v="N/A"/>
    <s v="Structural"/>
    <s v="Completed"/>
    <x v="1"/>
    <s v="Not provided"/>
    <s v="Harney-Monroe"/>
    <s v="Not provided"/>
    <s v="Not provided"/>
    <s v="Not provided"/>
  </r>
  <r>
    <n v="2229"/>
    <x v="10"/>
    <s v="Not provided"/>
    <s v="T-01"/>
    <s v="Street Sweeping"/>
    <s v="SR 417 MM 51-55_x000a_16 CM Mainline per cycle_x000a_6 CM Ramps per cycle_x000a_24 Total Curb Miles per month or 288 Curb Miles per year Aprox 93,312 lbs or 42,325.61 Kg of dry material."/>
    <x v="15"/>
    <x v="0"/>
    <x v="1"/>
    <n v="53"/>
    <n v="34"/>
    <s v="N/A"/>
    <s v="N/A"/>
    <s v="Not provided"/>
    <s v="Not provided"/>
    <s v="Not provided"/>
    <s v="Not provided"/>
    <s v="N/A"/>
    <s v="Non-structural"/>
    <s v="Completed"/>
    <x v="0"/>
    <s v="Not provided"/>
    <s v="Harney-Monroe"/>
    <s v="N/A"/>
    <s v="N/A"/>
    <s v="Not provided"/>
  </r>
  <r>
    <n v="2234"/>
    <x v="10"/>
    <s v="Not provided"/>
    <s v="TP-02"/>
    <s v="Education Efforts"/>
    <s v="No fertilizer on right-of-ways, illicit discharge training."/>
    <x v="2"/>
    <x v="0"/>
    <x v="1"/>
    <s v="TBD"/>
    <s v="TBD"/>
    <s v="N/A"/>
    <s v="N/A"/>
    <s v="N/A"/>
    <s v="N/A"/>
    <s v="N/A"/>
    <s v="N/A"/>
    <s v="N/A"/>
    <s v="Non-structural"/>
    <s v="Underway"/>
    <x v="1"/>
    <s v="Not provided"/>
    <s v="Attached"/>
    <s v="N/A"/>
    <s v="N/A"/>
    <s v="Not provided"/>
  </r>
  <r>
    <n v="2235"/>
    <x v="11"/>
    <s v="Not provided"/>
    <s v="VC-01"/>
    <s v="Education and Outreach"/>
    <s v="Education efforts."/>
    <x v="2"/>
    <x v="0"/>
    <x v="1"/>
    <n v="1391.9"/>
    <n v="201"/>
    <s v="N/A"/>
    <s v="N/A"/>
    <s v="Not provided"/>
    <s v="Not provided"/>
    <s v="Not provided"/>
    <s v="Not provided"/>
    <s v="N/A"/>
    <s v="Non-structural"/>
    <s v="Completed"/>
    <x v="0"/>
    <s v="Not provided"/>
    <s v="Harney-Monroe"/>
    <s v="N/A"/>
    <s v="N/A"/>
    <s v="Not provided"/>
  </r>
  <r>
    <n v="2236"/>
    <x v="11"/>
    <s v="Not provided"/>
    <s v="VC-02"/>
    <s v="Street Sweeping"/>
    <s v="Street sweeping."/>
    <x v="15"/>
    <x v="0"/>
    <x v="1"/>
    <n v="3130"/>
    <n v="2007"/>
    <s v="N/A"/>
    <s v="N/A"/>
    <s v="Not provided"/>
    <s v="Not provided"/>
    <s v="Not provided"/>
    <s v="Not provided"/>
    <s v="N/A"/>
    <s v="Non-structural"/>
    <s v="Completed"/>
    <x v="0"/>
    <s v="Not provided"/>
    <s v="Harney-Monroe"/>
    <s v="N/A"/>
    <s v="N/A"/>
    <s v="Not provided"/>
  </r>
  <r>
    <n v="2231"/>
    <x v="11"/>
    <s v="Not provided"/>
    <s v="VC-03"/>
    <s v="Lemon Bluff Road"/>
    <s v="Grass swales without swale blocks or raised culverts."/>
    <x v="7"/>
    <x v="0"/>
    <x v="21"/>
    <n v="6.6"/>
    <n v="1.1000000000000001"/>
    <s v="N/A"/>
    <n v="1.8"/>
    <n v="145000"/>
    <s v="Not provided"/>
    <s v="Not provided"/>
    <s v="Not provided"/>
    <s v="N/A"/>
    <s v="Structural"/>
    <s v="Completed"/>
    <x v="0"/>
    <s v="Not provided"/>
    <s v="Harney-Monroe"/>
    <s v="Not provided"/>
    <s v="Not provided"/>
    <s v="Not provided"/>
  </r>
  <r>
    <n v="2228"/>
    <x v="11"/>
    <s v="Not provided"/>
    <s v="VC-04"/>
    <s v="Lemon Bluff Road Ramp"/>
    <s v="Grass swales without swale blocks or raised culverts."/>
    <x v="7"/>
    <x v="0"/>
    <x v="21"/>
    <n v="0.7"/>
    <n v="0.1"/>
    <s v="N/A"/>
    <n v="0.2"/>
    <n v="55550"/>
    <s v="Not provided"/>
    <s v="Not provided"/>
    <s v="Not provided"/>
    <s v="N/A"/>
    <s v="Structural"/>
    <s v="Completed"/>
    <x v="0"/>
    <s v="Not provided"/>
    <s v="Harney-Monroe"/>
    <s v="Not provided"/>
    <s v="Not provided"/>
    <s v="Not provided"/>
  </r>
  <r>
    <n v="2227"/>
    <x v="11"/>
    <s v="Not provided"/>
    <s v="VC-05"/>
    <s v="DeBary Avenue Expansion"/>
    <s v="DeBary Avenue - Doyle Road expansion."/>
    <x v="5"/>
    <x v="0"/>
    <x v="0"/>
    <n v="41"/>
    <n v="10.3"/>
    <s v="N/A"/>
    <n v="123.3"/>
    <s v="Not provided"/>
    <s v="Not provided"/>
    <s v="Not provided"/>
    <s v="Not provided"/>
    <s v="N/A"/>
    <s v="Structural"/>
    <s v="Completed"/>
    <x v="0"/>
    <s v="Not provided"/>
    <s v="Harney-Monroe"/>
    <s v="Not provided"/>
    <s v="Not provided"/>
    <s v="Not provided"/>
  </r>
  <r>
    <n v="2226"/>
    <x v="11"/>
    <s v="Not provided"/>
    <s v="VC-06"/>
    <s v="Lake Winnemissett Non-contributing Basin"/>
    <s v="Non-contributing Basin, not included in the TMDL model."/>
    <x v="0"/>
    <x v="0"/>
    <x v="0"/>
    <n v="657.9"/>
    <n v="93.8"/>
    <s v="N/A"/>
    <n v="1003.3"/>
    <s v="N/A"/>
    <s v="N/A"/>
    <s v="N/A"/>
    <s v="N/A"/>
    <s v="N/A"/>
    <s v="Non-structural"/>
    <s v="Completed"/>
    <x v="0"/>
    <s v="Not provided"/>
    <s v="Harney-Monroe"/>
    <s v="N/A"/>
    <s v="N/A"/>
    <s v="N/A"/>
  </r>
  <r>
    <n v="2225"/>
    <x v="11"/>
    <s v="Not provided"/>
    <s v="VC-07"/>
    <s v="Roadside Ditch Cleaning"/>
    <s v="Ongoing roadside ditch cleaning throughout county."/>
    <x v="4"/>
    <x v="0"/>
    <x v="1"/>
    <n v="905"/>
    <n v="556"/>
    <s v="N/A"/>
    <s v="N/A"/>
    <s v="Not provided"/>
    <s v="Not provided"/>
    <s v="Not provided"/>
    <s v="Not provided"/>
    <s v="N/A"/>
    <s v="Non-structural"/>
    <s v="Ongoing"/>
    <x v="6"/>
    <s v="Not provided"/>
    <s v="Harney-Monroe"/>
    <s v="N/A"/>
    <s v="N/A"/>
    <s v="Not provided"/>
  </r>
  <r>
    <n v="2224"/>
    <x v="11"/>
    <s v="VC/ DEP/ SJRWMD"/>
    <s v="VC-08"/>
    <s v="Gemini Springs Baffle Boxes"/>
    <s v="Installation of two baffle boxes."/>
    <x v="18"/>
    <x v="0"/>
    <x v="4"/>
    <n v="850"/>
    <n v="135"/>
    <s v="N/A"/>
    <n v="208"/>
    <n v="381900"/>
    <s v="Not provided"/>
    <s v="DEP/ SJRWMD"/>
    <s v="DEP - $95,000/ SJRWMD - $95,000"/>
    <s v="NS034"/>
    <s v="Structural"/>
    <s v="Planned"/>
    <x v="1"/>
    <s v="Not provided"/>
    <s v="Harney-Monroe"/>
    <n v="28.867999999999999"/>
    <n v="81.298000000000002"/>
    <d v="2018-09-01T00:00:00"/>
  </r>
  <r>
    <n v="5253"/>
    <x v="11"/>
    <s v="N/A"/>
    <s v="VC-09"/>
    <s v="Fertilizer Ordinance"/>
    <s v="Fertilizer restrictions including summer ban on nitrogen and phosphorus."/>
    <x v="1"/>
    <x v="0"/>
    <x v="1"/>
    <s v="TBD"/>
    <s v="N/A"/>
    <s v="N/A"/>
    <s v="N/A"/>
    <s v="Not provided"/>
    <s v="Not provided"/>
    <s v="Volusia County General Fund"/>
    <s v="N/A"/>
    <s v="N/A"/>
    <s v="Non-structural"/>
    <s v="Completed"/>
    <x v="2"/>
    <s v="Not provided"/>
    <s v="Harney-Monroe"/>
    <s v="N/A"/>
    <s v="N/A"/>
    <n v="2019"/>
  </r>
  <r>
    <n v="5254"/>
    <x v="11"/>
    <s v="VC/ SJRWMD"/>
    <s v="VC-10"/>
    <s v="Thornby Park Improvement Project"/>
    <s v="Installation of baffle boxes and upflow filtration system."/>
    <x v="18"/>
    <x v="1"/>
    <x v="19"/>
    <s v="TBD"/>
    <s v="TBD"/>
    <s v="N/A"/>
    <n v="65"/>
    <n v="476354"/>
    <s v="Not provided"/>
    <s v="VC/ SJRWMD"/>
    <s v="TBD"/>
    <s v="TBD"/>
    <s v="Structural"/>
    <s v="Planned"/>
    <x v="2"/>
    <s v="Not provided"/>
    <s v="Harney-Monroe"/>
    <s v="N/A"/>
    <s v="N/A"/>
    <n v="2020"/>
  </r>
  <r>
    <m/>
    <x v="12"/>
    <m/>
    <m/>
    <m/>
    <m/>
    <x v="21"/>
    <x v="3"/>
    <x v="22"/>
    <m/>
    <m/>
    <m/>
    <m/>
    <m/>
    <m/>
    <m/>
    <m/>
    <m/>
    <m/>
    <m/>
    <x v="8"/>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F9718D-D839-4663-9346-73E7968A7BB1}" name="PivotTable1" cacheId="38"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1:C24" firstHeaderRow="0" firstDataRow="1" firstDataCol="1" rowPageCount="1" colPageCount="1"/>
  <pivotFields count="25">
    <pivotField axis="axisRow" showAll="0">
      <items count="14">
        <item sd="0" x="0"/>
        <item sd="0" x="2"/>
        <item sd="0" x="1"/>
        <item sd="0" x="5"/>
        <item sd="0" x="6"/>
        <item sd="0" x="7"/>
        <item sd="0" x="8"/>
        <item sd="0" x="3"/>
        <item sd="0" x="4"/>
        <item sd="0" x="9"/>
        <item sd="0" x="10"/>
        <item sd="0" x="11"/>
        <item x="12"/>
        <item t="default"/>
      </items>
    </pivotField>
    <pivotField showAll="0" defaultSubtotal="0"/>
    <pivotField axis="axisRow" showAll="0">
      <items count="113">
        <item x="0"/>
        <item x="1"/>
        <item x="2"/>
        <item x="3"/>
        <item x="6"/>
        <item x="7"/>
        <item x="8"/>
        <item x="9"/>
        <item x="10"/>
        <item x="11"/>
        <item x="12"/>
        <item x="13"/>
        <item x="14"/>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5"/>
        <item x="76"/>
        <item x="77"/>
        <item x="78"/>
        <item x="79"/>
        <item x="80"/>
        <item x="81"/>
        <item x="83"/>
        <item x="84"/>
        <item x="85"/>
        <item x="86"/>
        <item x="87"/>
        <item x="88"/>
        <item x="89"/>
        <item x="90"/>
        <item x="91"/>
        <item x="92"/>
        <item x="93"/>
        <item x="94"/>
        <item x="95"/>
        <item x="96"/>
        <item x="97"/>
        <item x="98"/>
        <item x="99"/>
        <item x="100"/>
        <item x="101"/>
        <item x="102"/>
        <item x="103"/>
        <item x="104"/>
        <item x="105"/>
        <item x="106"/>
        <item x="107"/>
        <item x="108"/>
        <item x="111"/>
        <item x="4"/>
        <item x="15"/>
        <item x="16"/>
        <item x="17"/>
        <item x="18"/>
        <item x="19"/>
        <item x="74"/>
        <item x="82"/>
        <item x="109"/>
        <item x="5"/>
        <item x="110"/>
        <item t="default"/>
      </items>
    </pivotField>
    <pivotField showAll="0"/>
    <pivotField showAll="0"/>
    <pivotField showAll="0"/>
    <pivotField axis="axisPage" multipleItemSelectionAllowed="1" showAll="0">
      <items count="5">
        <item x="0"/>
        <item h="1" x="2"/>
        <item h="1" x="1"/>
        <item h="1" x="3"/>
        <item t="default"/>
      </items>
    </pivotField>
    <pivotField showAll="0"/>
    <pivotField dataField="1" showAll="0"/>
    <pivotField dataField="1"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s>
  <rowFields count="2">
    <field x="0"/>
    <field x="2"/>
  </rowFields>
  <rowItems count="13">
    <i>
      <x/>
    </i>
    <i>
      <x v="1"/>
    </i>
    <i>
      <x v="2"/>
    </i>
    <i>
      <x v="3"/>
    </i>
    <i>
      <x v="4"/>
    </i>
    <i>
      <x v="5"/>
    </i>
    <i>
      <x v="6"/>
    </i>
    <i>
      <x v="7"/>
    </i>
    <i>
      <x v="8"/>
    </i>
    <i>
      <x v="9"/>
    </i>
    <i>
      <x v="10"/>
    </i>
    <i>
      <x v="11"/>
    </i>
    <i t="grand">
      <x/>
    </i>
  </rowItems>
  <colFields count="1">
    <field x="-2"/>
  </colFields>
  <colItems count="2">
    <i>
      <x/>
    </i>
    <i i="1">
      <x v="1"/>
    </i>
  </colItems>
  <pageFields count="1">
    <pageField fld="6" hier="-1"/>
  </pageFields>
  <dataFields count="2">
    <dataField name="Sum of TNReduction(lbs/yr)" fld="8" baseField="0" baseItem="0"/>
    <dataField name="Sum of TPReduction(lbs/yr)" fld="9" baseField="0" baseItem="0"/>
  </dataFields>
  <formats count="18">
    <format dxfId="27">
      <pivotArea type="all" dataOnly="0" outline="0" fieldPosition="0"/>
    </format>
    <format dxfId="26">
      <pivotArea outline="0" collapsedLevelsAreSubtotals="1" fieldPosition="0"/>
    </format>
    <format dxfId="25">
      <pivotArea dataOnly="0" labelOnly="1" grandRow="1" outline="0" fieldPosition="0"/>
    </format>
    <format dxfId="24">
      <pivotArea outline="0" collapsedLevelsAreSubtotals="1" fieldPosition="0"/>
    </format>
    <format dxfId="23">
      <pivotArea dataOnly="0" labelOnly="1" grandRow="1" outline="0" fieldPosition="0"/>
    </format>
    <format dxfId="22">
      <pivotArea grandRow="1" outline="0" collapsedLevelsAreSubtotals="1" fieldPosition="0"/>
    </format>
    <format dxfId="21">
      <pivotArea grandRow="1" outline="0" collapsedLevelsAreSubtotals="1" fieldPosition="0"/>
    </format>
    <format dxfId="20">
      <pivotArea grandRow="1" outline="0" collapsedLevelsAreSubtotals="1" fieldPosition="0"/>
    </format>
    <format dxfId="19">
      <pivotArea grandRow="1" outline="0" collapsedLevelsAreSubtotals="1" fieldPosition="0"/>
    </format>
    <format dxfId="18">
      <pivotArea outline="0" collapsedLevelsAreSubtotals="1" fieldPosition="0"/>
    </format>
    <format dxfId="17">
      <pivotArea type="all" dataOnly="0" outline="0" fieldPosition="0"/>
    </format>
    <format dxfId="16">
      <pivotArea outline="0" collapsedLevelsAreSubtotals="1" fieldPosition="0"/>
    </format>
    <format dxfId="15">
      <pivotArea dataOnly="0" labelOnly="1" grandRow="1" outline="0" fieldPosition="0"/>
    </format>
    <format dxfId="14">
      <pivotArea type="all" dataOnly="0" outline="0" fieldPosition="0"/>
    </format>
    <format dxfId="13">
      <pivotArea outline="0" collapsedLevelsAreSubtotals="1" fieldPosition="0"/>
    </format>
    <format dxfId="12">
      <pivotArea dataOnly="0" labelOnly="1" grandRow="1" outline="0" fieldPosition="0"/>
    </format>
    <format dxfId="11">
      <pivotArea grandRow="1" outline="0" collapsedLevelsAreSubtotals="1" fieldPosition="0"/>
    </format>
    <format dxfId="1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48C878D-7F3F-4D52-9FCB-BFF60A434AE0}" name="PivotTable26"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K1:K2" firstHeaderRow="1" firstDataRow="1" firstDataCol="0"/>
  <pivotFields count="1">
    <pivotField dataField="1" showAll="0"/>
  </pivotFields>
  <rowItems count="1">
    <i/>
  </rowItems>
  <colItems count="1">
    <i/>
  </colItems>
  <dataFields count="1">
    <dataField name="Sum of ProjID" fld="0" baseField="0" baseItem="123097856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4B5E8-3011-485A-95E8-41A324CB270D}" name="PivotTable24" cacheId="4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9:E43" firstHeaderRow="1" firstDataRow="2" firstDataCol="1" rowPageCount="1" colPageCount="1"/>
  <pivotFields count="26">
    <pivotField showAll="0"/>
    <pivotField axis="axisRow" showAll="0">
      <items count="14">
        <item x="0"/>
        <item x="2"/>
        <item x="1"/>
        <item x="5"/>
        <item x="6"/>
        <item x="7"/>
        <item x="8"/>
        <item x="3"/>
        <item x="4"/>
        <item x="9"/>
        <item x="10"/>
        <item x="11"/>
        <item x="12"/>
        <item t="default"/>
      </items>
    </pivotField>
    <pivotField showAll="0" defaultSubtota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defaultSubtotal="0"/>
    <pivotField showAll="0" defaultSubtotal="0"/>
    <pivotField axis="axisPage" subtotalTop="0" multipleItemSelectionAllowed="1" showAll="0">
      <items count="11">
        <item x="0"/>
        <item x="4"/>
        <item x="5"/>
        <item x="3"/>
        <item x="6"/>
        <item h="1" x="8"/>
        <item x="1"/>
        <item x="7"/>
        <item x="2"/>
        <item h="1" m="1" x="9"/>
        <item t="default"/>
      </items>
    </pivotField>
    <pivotField subtotalTop="0" showAll="0"/>
    <pivotField subtotalTop="0" showAll="0"/>
    <pivotField subtotalTop="0" showAll="0"/>
    <pivotField subtotalTop="0" showAll="0"/>
    <pivotField subtotalTop="0" showAll="0"/>
  </pivotFields>
  <rowFields count="1">
    <field x="1"/>
  </rowFields>
  <rowItems count="13">
    <i>
      <x/>
    </i>
    <i>
      <x v="1"/>
    </i>
    <i>
      <x v="2"/>
    </i>
    <i>
      <x v="3"/>
    </i>
    <i>
      <x v="4"/>
    </i>
    <i>
      <x v="5"/>
    </i>
    <i>
      <x v="6"/>
    </i>
    <i>
      <x v="7"/>
    </i>
    <i>
      <x v="8"/>
    </i>
    <i>
      <x v="9"/>
    </i>
    <i>
      <x v="10"/>
    </i>
    <i>
      <x v="11"/>
    </i>
    <i t="grand">
      <x/>
    </i>
  </rowItems>
  <colFields count="1">
    <field x="7"/>
  </colFields>
  <colItems count="4">
    <i>
      <x/>
    </i>
    <i>
      <x v="1"/>
    </i>
    <i>
      <x v="2"/>
    </i>
    <i t="grand">
      <x/>
    </i>
  </colItems>
  <pageFields count="1">
    <pageField fld="20" hier="-1"/>
  </pageFields>
  <dataFields count="1">
    <dataField name="Count of ProjectStatus" fld="7" subtotal="count" baseField="0" baseItem="0"/>
  </dataFields>
  <formats count="7">
    <format dxfId="34">
      <pivotArea outline="0" collapsedLevelsAreSubtotals="1" fieldPosition="0"/>
    </format>
    <format dxfId="33">
      <pivotArea dataOnly="0" labelOnly="1" grandRow="1" outline="0" fieldPosition="0"/>
    </format>
    <format dxfId="32">
      <pivotArea dataOnly="0" labelOnly="1" grandCol="1" outline="0" fieldPosition="0"/>
    </format>
    <format dxfId="31">
      <pivotArea outline="0" collapsedLevelsAreSubtotals="1" fieldPosition="0"/>
    </format>
    <format dxfId="30">
      <pivotArea dataOnly="0" labelOnly="1" grandRow="1" outline="0" fieldPosition="0"/>
    </format>
    <format dxfId="29">
      <pivotArea dataOnly="0" labelOnly="1" grandCol="1" outline="0" fieldPosition="0"/>
    </format>
    <format dxfId="28">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68E60B0-5BA1-47AF-8F2B-7A9F3D226F41}" name="PivotTable23" cacheId="4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6:D29" firstHeaderRow="1" firstDataRow="2" firstDataCol="1"/>
  <pivotFields count="26">
    <pivotField showAll="0"/>
    <pivotField showAll="0"/>
    <pivotField showAll="0"/>
    <pivotField showAll="0"/>
    <pivotField showAll="0"/>
    <pivotField showAll="0"/>
    <pivotField showAll="0"/>
    <pivotField axis="axisRow" dataField="1" showAll="0">
      <items count="5">
        <item x="0"/>
        <item x="1"/>
        <item x="2"/>
        <item h="1" x="3"/>
        <item t="default"/>
      </items>
    </pivotField>
    <pivotField axis="axisCol" showAll="0">
      <items count="25">
        <item h="1" x="18"/>
        <item h="1" x="13"/>
        <item h="1" x="14"/>
        <item h="1" x="11"/>
        <item h="1" x="12"/>
        <item h="1" x="20"/>
        <item h="1" x="21"/>
        <item h="1" x="0"/>
        <item h="1" x="2"/>
        <item h="1" x="8"/>
        <item h="1" x="9"/>
        <item h="1" x="10"/>
        <item h="1" m="1" x="23"/>
        <item x="3"/>
        <item h="1" x="17"/>
        <item h="1" x="15"/>
        <item h="1" x="5"/>
        <item h="1" x="6"/>
        <item h="1" x="7"/>
        <item h="1" x="4"/>
        <item x="1"/>
        <item h="1" x="22"/>
        <item h="1" x="16"/>
        <item h="1" x="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2">
    <i>
      <x/>
    </i>
    <i t="grand">
      <x/>
    </i>
  </rowItems>
  <colFields count="1">
    <field x="8"/>
  </colFields>
  <colItems count="3">
    <i>
      <x v="13"/>
    </i>
    <i>
      <x v="20"/>
    </i>
    <i t="grand">
      <x/>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33C03B2-B22E-4BF5-91FC-00F6F265AC1B}" name="PivotTable5" cacheId="4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3:E4"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5">
        <item x="0"/>
        <item h="1" x="1"/>
        <item h="1"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5">
    <i>
      <x/>
    </i>
    <i i="1">
      <x v="1"/>
    </i>
    <i i="2">
      <x v="2"/>
    </i>
    <i i="3">
      <x v="3"/>
    </i>
    <i i="4">
      <x v="4"/>
    </i>
  </colItems>
  <pageFields count="1">
    <pageField fld="7" hier="-1"/>
  </pageFields>
  <dataFields count="5">
    <dataField name="Sum of CostEstimate" fld="13" baseField="0" baseItem="1"/>
    <dataField name="Sum of CostAnnualO&amp;M" fld="14" baseField="0" baseItem="1"/>
    <dataField name="Sum of TNReduction(lbs/yr)" fld="9" baseField="0" baseItem="1" numFmtId="169"/>
    <dataField name="Sum of TPReduction(lbs/yr)" fld="10" baseField="0" baseItem="1" numFmtId="169"/>
    <dataField name="Count of ProjectStatus" fld="7" subtotal="count" baseField="0" baseItem="0"/>
  </dataFields>
  <formats count="4">
    <format dxfId="6">
      <pivotArea type="all" dataOnly="0" outline="0" fieldPosition="0"/>
    </format>
    <format dxfId="5">
      <pivotArea outline="0" collapsedLevelsAreSubtotals="1" fieldPosition="0"/>
    </format>
    <format dxfId="4">
      <pivotArea outline="0" collapsedLevelsAreSubtotals="1" fieldPosition="0">
        <references count="1">
          <reference field="4294967294" count="1" selected="0">
            <x v="4"/>
          </reference>
        </references>
      </pivotArea>
    </format>
    <format dxfId="3">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37B741B-094C-4851-85E5-63DFAD051AF8}" name="PivotTable7" cacheId="4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4:B56" firstHeaderRow="1" firstDataRow="1" firstDataCol="1"/>
  <pivotFields count="26">
    <pivotField showAll="0"/>
    <pivotField showAll="0"/>
    <pivotField showAll="0"/>
    <pivotField showAll="0"/>
    <pivotField showAll="0"/>
    <pivotField showAll="0"/>
    <pivotField axis="axisRow" dataField="1" showAll="0">
      <items count="24">
        <item x="13"/>
        <item x="19"/>
        <item x="18"/>
        <item x="7"/>
        <item x="4"/>
        <item x="8"/>
        <item x="14"/>
        <item x="2"/>
        <item x="17"/>
        <item x="16"/>
        <item x="12"/>
        <item x="3"/>
        <item x="10"/>
        <item x="0"/>
        <item x="6"/>
        <item m="1" x="22"/>
        <item x="11"/>
        <item x="1"/>
        <item x="9"/>
        <item x="15"/>
        <item x="5"/>
        <item x="20"/>
        <item h="1"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
  </rowFields>
  <rowItems count="22">
    <i>
      <x/>
    </i>
    <i>
      <x v="1"/>
    </i>
    <i>
      <x v="2"/>
    </i>
    <i>
      <x v="3"/>
    </i>
    <i>
      <x v="4"/>
    </i>
    <i>
      <x v="5"/>
    </i>
    <i>
      <x v="6"/>
    </i>
    <i>
      <x v="7"/>
    </i>
    <i>
      <x v="8"/>
    </i>
    <i>
      <x v="9"/>
    </i>
    <i>
      <x v="10"/>
    </i>
    <i>
      <x v="11"/>
    </i>
    <i>
      <x v="12"/>
    </i>
    <i>
      <x v="13"/>
    </i>
    <i>
      <x v="14"/>
    </i>
    <i>
      <x v="16"/>
    </i>
    <i>
      <x v="17"/>
    </i>
    <i>
      <x v="18"/>
    </i>
    <i>
      <x v="19"/>
    </i>
    <i>
      <x v="20"/>
    </i>
    <i>
      <x v="21"/>
    </i>
    <i t="grand">
      <x/>
    </i>
  </rowItems>
  <colItems count="1">
    <i/>
  </colItems>
  <dataFields count="1">
    <dataField name="Count of ProjectTyp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77618916-E249-40C8-8423-4BE01F369161}" name="PivotTable4" cacheId="4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4:B23"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
        <item x="0"/>
        <item x="4"/>
        <item x="5"/>
        <item x="3"/>
        <item x="6"/>
        <item x="1"/>
        <item x="7"/>
        <item h="1" x="8"/>
        <item x="2"/>
        <item m="1" x="9"/>
        <item t="default"/>
      </items>
    </pivotField>
    <pivotField showAll="0"/>
    <pivotField showAll="0"/>
    <pivotField showAll="0"/>
    <pivotField showAll="0"/>
    <pivotField showAll="0"/>
  </pivotFields>
  <rowFields count="1">
    <field x="20"/>
  </rowFields>
  <rowItems count="9">
    <i>
      <x/>
    </i>
    <i>
      <x v="1"/>
    </i>
    <i>
      <x v="2"/>
    </i>
    <i>
      <x v="3"/>
    </i>
    <i>
      <x v="4"/>
    </i>
    <i>
      <x v="5"/>
    </i>
    <i>
      <x v="6"/>
    </i>
    <i>
      <x v="8"/>
    </i>
    <i t="grand">
      <x/>
    </i>
  </rowItems>
  <colItems count="1">
    <i/>
  </colItems>
  <pageFields count="1">
    <pageField fld="7" hier="-1"/>
  </pageFields>
  <dataFields count="1">
    <dataField name="Count of Year Added" fld="20" subtotal="count" baseField="2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6A9DC5E-1D2F-4582-AF2B-F3E86DC8028B}" name="PivotTable6" cacheId="4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8:D9"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h="1" x="0"/>
        <item x="1"/>
        <item x="2"/>
        <item h="1" x="3"/>
        <item t="default"/>
      </items>
    </pivotField>
    <pivotField showAll="0"/>
    <pivotField dataField="1" showAll="0"/>
    <pivotField dataField="1"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Estimate" fld="13" baseField="0" baseItem="1"/>
    <dataField name="Sum of CostAnnualO&amp;M" fld="14" baseField="0" baseItem="1"/>
    <dataField name="Sum of TNReduction(lbs/yr)" fld="9" baseField="0" baseItem="1" numFmtId="43"/>
    <dataField name="Sum of TPReduction(lbs/yr)" fld="10" baseField="0" baseItem="1" numFmtId="43"/>
  </dataFields>
  <formats count="3">
    <format dxfId="9">
      <pivotArea type="all" dataOnly="0" outline="0" fieldPosition="0"/>
    </format>
    <format dxfId="8">
      <pivotArea outline="0" collapsedLevelsAreSubtotals="1" fieldPosition="0"/>
    </format>
    <format dxfId="7">
      <pivotArea outline="0" collapsedLevelsAreSubtotals="1" fieldPosition="0">
        <references count="1">
          <reference field="4294967294" count="2" selected="0">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48D4E17-50C6-435F-9FDC-78FADCB9B39E}" name="PivotTable1" cacheId="4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20" firstHeaderRow="0"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axis="axisRow" showAll="0">
      <items count="25">
        <item x="18"/>
        <item x="13"/>
        <item x="14"/>
        <item x="11"/>
        <item x="12"/>
        <item x="20"/>
        <item x="21"/>
        <item x="0"/>
        <item x="2"/>
        <item x="8"/>
        <item x="9"/>
        <item x="10"/>
        <item x="3"/>
        <item x="1"/>
        <item x="22"/>
        <item m="1" x="23"/>
        <item x="4"/>
        <item x="5"/>
        <item x="6"/>
        <item x="7"/>
        <item x="15"/>
        <item x="17"/>
        <item x="16"/>
        <item x="19"/>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17">
    <i>
      <x/>
    </i>
    <i>
      <x v="1"/>
    </i>
    <i>
      <x v="2"/>
    </i>
    <i>
      <x v="3"/>
    </i>
    <i>
      <x v="4"/>
    </i>
    <i>
      <x v="5"/>
    </i>
    <i>
      <x v="6"/>
    </i>
    <i>
      <x v="7"/>
    </i>
    <i>
      <x v="8"/>
    </i>
    <i>
      <x v="9"/>
    </i>
    <i>
      <x v="10"/>
    </i>
    <i>
      <x v="11"/>
    </i>
    <i>
      <x v="12"/>
    </i>
    <i>
      <x v="13"/>
    </i>
    <i>
      <x v="16"/>
    </i>
    <i>
      <x v="22"/>
    </i>
    <i t="grand">
      <x/>
    </i>
  </rowItems>
  <colFields count="1">
    <field x="-2"/>
  </colFields>
  <colItems count="2">
    <i>
      <x/>
    </i>
    <i i="1">
      <x v="1"/>
    </i>
  </colItems>
  <pageFields count="1">
    <pageField fld="7" hier="-1"/>
  </pageFields>
  <dataFields count="2">
    <dataField name="Sum of TNReduction(lbs/yr)" fld="9" baseField="8" baseItem="0"/>
    <dataField name="Sum of TPReduction(lbs/yr)" fld="10" baseField="8" baseItem="0"/>
  </dataFields>
  <formats count="3">
    <format dxfId="2">
      <pivotArea outline="0" collapsedLevelsAreSubtotals="1" fieldPosition="0"/>
    </format>
    <format dxfId="1">
      <pivotArea dataOnly="0" labelOnly="1" outline="0" fieldPosition="0">
        <references count="1">
          <reference field="7" count="0"/>
        </references>
      </pivotArea>
    </format>
    <format dxfId="0">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565FDDB-2F0D-4750-92B5-1B89CE7FFB92}" name="PivotTable27"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N1:N2" firstHeaderRow="1" firstDataRow="1" firstDataCol="0"/>
  <pivotFields count="1">
    <pivotField dataField="1" showAll="0"/>
  </pivotFields>
  <rowItems count="1">
    <i/>
  </rowItems>
  <colItems count="1">
    <i/>
  </colItems>
  <dataFields count="1">
    <dataField name="Count of ProjID"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5" dT="2020-02-07T14:49:09.18" personId="{CDB520DC-9A5C-4471-826E-97973105CB90}" id="{2870805C-0A3D-4AAF-AAF8-AB293BA6DE3D}">
    <text>These numbers were reduced in 2019 to reflect only the starting load from the contributing basin as there were two non-contributing basins included in the original starting load.</text>
  </threadedComment>
  <threadedComment ref="J18" dT="2020-01-27T19:43:56.96" personId="{CDB520DC-9A5C-4471-826E-97973105CB90}" id="{546F9D3A-D330-4536-8939-7E60338C7B64}">
    <text>Stakeholder submitted reductions in 2019 of 36.46 TN and 5.45 TP</text>
  </threadedComment>
  <threadedComment ref="J18" dT="2020-03-04T18:46:46.84" personId="{A47CCA55-5BE0-45AC-AA8B-5BB653D4A184}" id="{3E6B5400-44CC-4410-AF48-284759E618A8}" parentId="{546F9D3A-D330-4536-8939-7E60338C7B64}">
    <text>Spoke with MRH on 1/31/20 who agreed that the caluclations submitted take the delta and seem reasonable. Reduction amounts accepted.</text>
  </threadedComment>
  <threadedComment ref="J19" dT="2020-01-27T19:44:27.37" personId="{CDB520DC-9A5C-4471-826E-97973105CB90}" id="{1A1AF019-4415-4986-A256-E0EE9B12DDBC}">
    <text>Stakeholder submitted reductions in 2019 of 1.84 TP and 5.74 TN.</text>
  </threadedComment>
  <threadedComment ref="J19" dT="2020-03-04T18:48:33.02" personId="{A47CCA55-5BE0-45AC-AA8B-5BB653D4A184}" id="{5635FF02-FF0B-4B4A-9752-C4C3D2DB6981}" parentId="{1A1AF019-4415-4986-A256-E0EE9B12DDBC}">
    <text>Spoke with MRH on 1/31/20 who agreed that the caluclations submitted take the delta and seem reasonable. Reduction amounts accepted.</text>
  </threadedComment>
  <threadedComment ref="O87" personId="{6ED55007-F2DB-4186-A6FE-1194AEEECA97}" id="{F1472EB1-9897-4EE6-B0E1-4FCEBF45691E}">
    <text>$17/mile</text>
  </threadedComment>
  <threadedComment ref="I90" personId="{CDB520DC-9A5C-4471-826E-97973105CB90}" id="{112C1D5E-09E6-4767-95EB-D788267E75A3}">
    <text xml:space="preserve">This was added in 2014, but received submission from stakeholder listed completion as 2004. Think it may be 2014. Need to confirm. </text>
  </threadedComment>
  <threadedComment ref="D91" personId="{77E38882-5FA2-460B-8598-41B0138D6704}" id="{5A8ED3D6-E8C4-487D-9812-B26DAB4BE808}">
    <text>Laura Savag
project missing from model</text>
  </threadedComment>
  <threadedComment ref="J92" personId="{6ED55007-F2DB-4186-A6FE-1194AEEECA97}" id="{5875EA22-9368-42CD-9059-B17B4BEF6445}">
    <text xml:space="preserve">
0.376MGDx35,433lbs/MGD Removed x 0.75
</text>
  </threadedComment>
  <threadedComment ref="K92" personId="{6ED55007-F2DB-4186-A6FE-1194AEEECA97}" id="{FA6F05F9-8C88-426A-A327-E9B484644868}">
    <text xml:space="preserve">
0.376MGDx2,658lbs/MGD Removed x 0.75</text>
  </threadedComment>
  <threadedComment ref="J101" personId="{CDB520DC-9A5C-4471-826E-97973105CB90}" id="{1F938AB1-E6F7-495B-93E8-45DA91857420}">
    <text>Stakeholder submitted reductions of TN = 144 and TP = 34 using Sansalone Lane Mile Method. Recalcualted using weight provided and MS4 tool.</text>
  </threadedComment>
  <threadedComment ref="J109" personId="{CDB520DC-9A5C-4471-826E-97973105CB90}" id="{7B025D57-0A87-422E-92B6-8155E822090E}">
    <text xml:space="preserve">Stakeholder submitted new reductions as 40,350 TN and 16,337 TP. Need weight to verify. New reductions left in for this year. </text>
  </threadedComment>
</ThreadedComments>
</file>

<file path=xl/threadedComments/threadedComment2.xml><?xml version="1.0" encoding="utf-8"?>
<ThreadedComments xmlns="http://schemas.microsoft.com/office/spreadsheetml/2018/threadedcomments" xmlns:x="http://schemas.openxmlformats.org/spreadsheetml/2006/main">
  <threadedComment ref="F2" dT="2019-03-20T19:02:49.53" personId="{CDB520DC-9A5C-4471-826E-97973105CB90}" id="{7ADA5F9A-6832-4022-A99A-BAF6D78C3969}">
    <text>Start with Year Adopted</text>
  </threadedComment>
  <threadedComment ref="G2" dT="2019-03-20T19:04:27.41" personId="{CDB520DC-9A5C-4471-826E-97973105CB90}" id="{CBAA515F-955E-469C-A66B-0079B6CD3543}">
    <text>Insert pivot table to the left. First reduction should be the sum of the years before the adoption, adopted year, and N/A (ongoing) activities.</text>
  </threadedComment>
  <threadedComment ref="F25" dT="2019-03-20T19:02:49.53" personId="{CDB520DC-9A5C-4471-826E-97973105CB90}" id="{6193CB00-0D06-45C0-A70F-716CFC1B281C}">
    <text>Start with Year Adopted</text>
  </threadedComment>
  <threadedComment ref="G25" dT="2019-03-20T19:04:27.41" personId="{CDB520DC-9A5C-4471-826E-97973105CB90}" id="{B0971FA3-4ECE-48BA-9E03-75CD6CAFDBAC}">
    <text>Insert pivot table to the left. First reduction should be the sum of the years before the adoption, adopted year, and N/A (ongoing) activities.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0D2F6B9-B4AE-489F-A850-36C7F0CC2315}">
  <we:reference id="wa104379727" version="1.0.0.0" store="en-US" storeType="OMEX"/>
  <we:alternateReferences>
    <we:reference id="wa104379727" version="1.0.0.0" store="wa104379727" storeType="OMEX"/>
  </we:alternateReferences>
  <we:properties/>
  <we:bindings>
    <we:binding id="Range" type="matrix" appref="{0A631B3A-C181-47EA-9680-6D297288700F}"/>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5.xml"/><Relationship Id="rId2" Type="http://schemas.openxmlformats.org/officeDocument/2006/relationships/pivotTable" Target="../pivotTables/pivotTable4.xml"/><Relationship Id="rId1" Type="http://schemas.openxmlformats.org/officeDocument/2006/relationships/pivotTable" Target="../pivotTables/pivotTable3.xml"/><Relationship Id="rId5" Type="http://schemas.openxmlformats.org/officeDocument/2006/relationships/pivotTable" Target="../pivotTables/pivotTable7.xml"/><Relationship Id="rId4" Type="http://schemas.openxmlformats.org/officeDocument/2006/relationships/pivotTable" Target="../pivotTables/pivotTable6.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8.xm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12"/>
  <sheetViews>
    <sheetView tabSelected="1" zoomScaleNormal="100" workbookViewId="0">
      <pane ySplit="1" topLeftCell="A2" activePane="bottomLeft" state="frozen"/>
      <selection pane="bottomLeft" activeCell="F2" sqref="F2"/>
    </sheetView>
  </sheetViews>
  <sheetFormatPr defaultColWidth="9.140625" defaultRowHeight="15" x14ac:dyDescent="0.25"/>
  <cols>
    <col min="1" max="1" width="9.140625" style="15"/>
    <col min="2" max="3" width="12.7109375" style="15" customWidth="1"/>
    <col min="4" max="4" width="15.42578125" style="15" customWidth="1"/>
    <col min="5" max="5" width="16.7109375" style="15" customWidth="1"/>
    <col min="6" max="6" width="42.140625" style="15" customWidth="1"/>
    <col min="7" max="8" width="12.7109375" style="15" customWidth="1"/>
    <col min="9" max="9" width="14" style="108" customWidth="1"/>
    <col min="10" max="10" width="12.42578125" style="29" customWidth="1"/>
    <col min="11" max="11" width="11.7109375" style="29" customWidth="1"/>
    <col min="12" max="13" width="12.7109375" style="29" customWidth="1"/>
    <col min="14" max="14" width="13.7109375" style="21" customWidth="1"/>
    <col min="15" max="15" width="12.7109375" style="21" customWidth="1"/>
    <col min="16" max="16" width="15.140625" style="15" customWidth="1"/>
    <col min="17" max="17" width="12.7109375" style="21" customWidth="1"/>
    <col min="18" max="19" width="12.7109375" style="15" customWidth="1"/>
    <col min="20" max="20" width="12.85546875" style="15" customWidth="1"/>
    <col min="21" max="21" width="13.42578125" style="15" customWidth="1"/>
    <col min="22" max="22" width="12.7109375" style="16" customWidth="1"/>
    <col min="23" max="23" width="17.28515625" style="15" customWidth="1"/>
    <col min="24" max="26" width="12.7109375" style="15" customWidth="1"/>
  </cols>
  <sheetData>
    <row r="1" spans="1:27" s="15" customFormat="1" ht="49.5" customHeight="1" x14ac:dyDescent="0.2">
      <c r="A1" s="67" t="s">
        <v>287</v>
      </c>
      <c r="B1" s="67" t="s">
        <v>303</v>
      </c>
      <c r="C1" s="67" t="s">
        <v>70</v>
      </c>
      <c r="D1" s="98" t="s">
        <v>304</v>
      </c>
      <c r="E1" s="98" t="s">
        <v>305</v>
      </c>
      <c r="F1" s="98" t="s">
        <v>306</v>
      </c>
      <c r="G1" s="98" t="s">
        <v>307</v>
      </c>
      <c r="H1" s="98" t="s">
        <v>308</v>
      </c>
      <c r="I1" s="101" t="s">
        <v>309</v>
      </c>
      <c r="J1" s="109" t="s">
        <v>310</v>
      </c>
      <c r="K1" s="109" t="s">
        <v>311</v>
      </c>
      <c r="L1" s="67" t="s">
        <v>277</v>
      </c>
      <c r="M1" s="68" t="s">
        <v>312</v>
      </c>
      <c r="N1" s="111" t="s">
        <v>313</v>
      </c>
      <c r="O1" s="111" t="s">
        <v>314</v>
      </c>
      <c r="P1" s="98" t="s">
        <v>315</v>
      </c>
      <c r="Q1" s="98" t="s">
        <v>316</v>
      </c>
      <c r="R1" s="98" t="s">
        <v>317</v>
      </c>
      <c r="S1" s="6" t="s">
        <v>164</v>
      </c>
      <c r="T1" s="6" t="s">
        <v>165</v>
      </c>
      <c r="U1" s="6" t="s">
        <v>163</v>
      </c>
      <c r="V1" s="6" t="s">
        <v>66</v>
      </c>
      <c r="W1" s="22" t="s">
        <v>67</v>
      </c>
      <c r="X1" s="22" t="s">
        <v>68</v>
      </c>
      <c r="Y1" s="22" t="s">
        <v>69</v>
      </c>
      <c r="Z1" s="22" t="s">
        <v>71</v>
      </c>
      <c r="AA1" s="6" t="s">
        <v>486</v>
      </c>
    </row>
    <row r="2" spans="1:27" s="15" customFormat="1" ht="45" customHeight="1" x14ac:dyDescent="0.2">
      <c r="A2" s="3">
        <v>2153</v>
      </c>
      <c r="B2" s="3" t="s">
        <v>72</v>
      </c>
      <c r="C2" s="1" t="s">
        <v>145</v>
      </c>
      <c r="D2" s="3" t="s">
        <v>89</v>
      </c>
      <c r="E2" s="3" t="s">
        <v>172</v>
      </c>
      <c r="F2" s="3" t="s">
        <v>225</v>
      </c>
      <c r="G2" s="3" t="s">
        <v>172</v>
      </c>
      <c r="H2" s="3" t="s">
        <v>5</v>
      </c>
      <c r="I2" s="102">
        <v>2012</v>
      </c>
      <c r="J2" s="23">
        <v>6522.5</v>
      </c>
      <c r="K2" s="23">
        <v>1036.8</v>
      </c>
      <c r="L2" s="23" t="s">
        <v>145</v>
      </c>
      <c r="M2" s="28" t="s">
        <v>276</v>
      </c>
      <c r="N2" s="20" t="s">
        <v>145</v>
      </c>
      <c r="O2" s="20" t="s">
        <v>145</v>
      </c>
      <c r="P2" s="79" t="s">
        <v>72</v>
      </c>
      <c r="Q2" s="24" t="s">
        <v>145</v>
      </c>
      <c r="R2" s="24" t="s">
        <v>145</v>
      </c>
      <c r="S2" s="3" t="s">
        <v>2</v>
      </c>
      <c r="T2" s="3" t="s">
        <v>3</v>
      </c>
      <c r="U2" s="1">
        <v>2012</v>
      </c>
      <c r="V2" s="1" t="s">
        <v>276</v>
      </c>
      <c r="W2" s="1" t="s">
        <v>86</v>
      </c>
      <c r="X2" s="24" t="s">
        <v>145</v>
      </c>
      <c r="Y2" s="24" t="s">
        <v>145</v>
      </c>
      <c r="Z2" s="24" t="s">
        <v>145</v>
      </c>
      <c r="AA2" s="24"/>
    </row>
    <row r="3" spans="1:27" s="15" customFormat="1" ht="38.25" x14ac:dyDescent="0.2">
      <c r="A3" s="3">
        <v>2165</v>
      </c>
      <c r="B3" s="3" t="s">
        <v>72</v>
      </c>
      <c r="C3" s="1" t="s">
        <v>145</v>
      </c>
      <c r="D3" s="3" t="s">
        <v>90</v>
      </c>
      <c r="E3" s="3" t="s">
        <v>172</v>
      </c>
      <c r="F3" s="3" t="s">
        <v>225</v>
      </c>
      <c r="G3" s="3" t="s">
        <v>172</v>
      </c>
      <c r="H3" s="3" t="s">
        <v>5</v>
      </c>
      <c r="I3" s="102">
        <v>2012</v>
      </c>
      <c r="J3" s="23">
        <v>7039.2</v>
      </c>
      <c r="K3" s="23">
        <v>1170.2</v>
      </c>
      <c r="L3" s="23" t="s">
        <v>145</v>
      </c>
      <c r="M3" s="28" t="s">
        <v>276</v>
      </c>
      <c r="N3" s="20" t="s">
        <v>145</v>
      </c>
      <c r="O3" s="20" t="s">
        <v>145</v>
      </c>
      <c r="P3" s="79" t="s">
        <v>72</v>
      </c>
      <c r="Q3" s="24" t="s">
        <v>145</v>
      </c>
      <c r="R3" s="24" t="s">
        <v>145</v>
      </c>
      <c r="S3" s="3" t="s">
        <v>2</v>
      </c>
      <c r="T3" s="3" t="s">
        <v>3</v>
      </c>
      <c r="U3" s="1">
        <v>2012</v>
      </c>
      <c r="V3" s="1" t="s">
        <v>276</v>
      </c>
      <c r="W3" s="1" t="s">
        <v>86</v>
      </c>
      <c r="X3" s="24" t="s">
        <v>145</v>
      </c>
      <c r="Y3" s="24" t="s">
        <v>145</v>
      </c>
      <c r="Z3" s="24" t="s">
        <v>145</v>
      </c>
      <c r="AA3" s="24"/>
    </row>
    <row r="4" spans="1:27" s="15" customFormat="1" ht="38.25" x14ac:dyDescent="0.2">
      <c r="A4" s="3">
        <v>2164</v>
      </c>
      <c r="B4" s="3" t="s">
        <v>72</v>
      </c>
      <c r="C4" s="1" t="s">
        <v>145</v>
      </c>
      <c r="D4" s="1" t="s">
        <v>179</v>
      </c>
      <c r="E4" s="1" t="s">
        <v>180</v>
      </c>
      <c r="F4" s="1" t="s">
        <v>413</v>
      </c>
      <c r="G4" s="1" t="s">
        <v>184</v>
      </c>
      <c r="H4" s="3" t="s">
        <v>5</v>
      </c>
      <c r="I4" s="102" t="s">
        <v>145</v>
      </c>
      <c r="J4" s="113">
        <v>31.724055445256965</v>
      </c>
      <c r="K4" s="113">
        <v>4.7100770185483452</v>
      </c>
      <c r="L4" s="23" t="s">
        <v>145</v>
      </c>
      <c r="M4" s="80" t="s">
        <v>145</v>
      </c>
      <c r="N4" s="30" t="s">
        <v>145</v>
      </c>
      <c r="O4" s="30" t="s">
        <v>145</v>
      </c>
      <c r="P4" s="79" t="s">
        <v>72</v>
      </c>
      <c r="Q4" s="1" t="s">
        <v>145</v>
      </c>
      <c r="R4" s="1" t="s">
        <v>145</v>
      </c>
      <c r="S4" s="3" t="s">
        <v>2</v>
      </c>
      <c r="T4" s="3" t="s">
        <v>3</v>
      </c>
      <c r="U4" s="1">
        <v>2017</v>
      </c>
      <c r="V4" s="1" t="s">
        <v>181</v>
      </c>
      <c r="W4" s="1" t="s">
        <v>86</v>
      </c>
      <c r="X4" s="24" t="s">
        <v>145</v>
      </c>
      <c r="Y4" s="24" t="s">
        <v>145</v>
      </c>
      <c r="Z4" s="24" t="s">
        <v>276</v>
      </c>
      <c r="AA4" s="24"/>
    </row>
    <row r="5" spans="1:27" s="15" customFormat="1" ht="38.25" x14ac:dyDescent="0.2">
      <c r="A5" s="3">
        <v>2163</v>
      </c>
      <c r="B5" s="3" t="s">
        <v>72</v>
      </c>
      <c r="C5" s="1" t="s">
        <v>145</v>
      </c>
      <c r="D5" s="1" t="s">
        <v>182</v>
      </c>
      <c r="E5" s="81" t="s">
        <v>414</v>
      </c>
      <c r="F5" s="81" t="s">
        <v>462</v>
      </c>
      <c r="G5" s="1" t="s">
        <v>4</v>
      </c>
      <c r="H5" s="3" t="s">
        <v>5</v>
      </c>
      <c r="I5" s="102" t="s">
        <v>145</v>
      </c>
      <c r="J5" s="113">
        <v>317.24055445256965</v>
      </c>
      <c r="K5" s="113">
        <v>47.100770185483455</v>
      </c>
      <c r="L5" s="23" t="s">
        <v>145</v>
      </c>
      <c r="M5" s="80" t="s">
        <v>145</v>
      </c>
      <c r="N5" s="30" t="s">
        <v>276</v>
      </c>
      <c r="O5" s="30" t="s">
        <v>145</v>
      </c>
      <c r="P5" s="79" t="s">
        <v>72</v>
      </c>
      <c r="Q5" s="1" t="s">
        <v>276</v>
      </c>
      <c r="R5" s="1" t="s">
        <v>145</v>
      </c>
      <c r="S5" s="3" t="s">
        <v>2</v>
      </c>
      <c r="T5" s="3" t="s">
        <v>3</v>
      </c>
      <c r="U5" s="1">
        <v>2017</v>
      </c>
      <c r="V5" s="1" t="s">
        <v>183</v>
      </c>
      <c r="W5" s="1" t="s">
        <v>86</v>
      </c>
      <c r="X5" s="24" t="s">
        <v>145</v>
      </c>
      <c r="Y5" s="24" t="s">
        <v>145</v>
      </c>
      <c r="Z5" s="24" t="s">
        <v>276</v>
      </c>
      <c r="AA5" s="24"/>
    </row>
    <row r="6" spans="1:27" s="15" customFormat="1" ht="38.25" x14ac:dyDescent="0.2">
      <c r="A6" s="119">
        <v>5244</v>
      </c>
      <c r="B6" s="82" t="s">
        <v>72</v>
      </c>
      <c r="C6" s="81" t="s">
        <v>145</v>
      </c>
      <c r="D6" s="81" t="s">
        <v>418</v>
      </c>
      <c r="E6" s="81" t="s">
        <v>415</v>
      </c>
      <c r="F6" s="81" t="s">
        <v>456</v>
      </c>
      <c r="G6" s="81" t="s">
        <v>361</v>
      </c>
      <c r="H6" s="82" t="s">
        <v>5</v>
      </c>
      <c r="I6" s="85" t="s">
        <v>145</v>
      </c>
      <c r="J6" s="80" t="s">
        <v>145</v>
      </c>
      <c r="K6" s="80" t="s">
        <v>145</v>
      </c>
      <c r="L6" s="83" t="s">
        <v>145</v>
      </c>
      <c r="M6" s="80" t="s">
        <v>145</v>
      </c>
      <c r="N6" s="84">
        <v>65000</v>
      </c>
      <c r="O6" s="84" t="s">
        <v>145</v>
      </c>
      <c r="P6" s="79" t="s">
        <v>416</v>
      </c>
      <c r="Q6" s="84">
        <v>65000</v>
      </c>
      <c r="R6" s="81" t="s">
        <v>145</v>
      </c>
      <c r="S6" s="3" t="s">
        <v>2</v>
      </c>
      <c r="T6" s="3" t="s">
        <v>419</v>
      </c>
      <c r="U6" s="1">
        <v>2019</v>
      </c>
      <c r="V6" s="1" t="s">
        <v>145</v>
      </c>
      <c r="W6" s="1" t="s">
        <v>86</v>
      </c>
      <c r="X6" s="24" t="s">
        <v>145</v>
      </c>
      <c r="Y6" s="24" t="s">
        <v>145</v>
      </c>
      <c r="Z6" s="24" t="s">
        <v>276</v>
      </c>
      <c r="AA6" s="24"/>
    </row>
    <row r="7" spans="1:27" s="15" customFormat="1" ht="38.25" x14ac:dyDescent="0.2">
      <c r="A7" s="119">
        <v>5245</v>
      </c>
      <c r="B7" s="82" t="s">
        <v>72</v>
      </c>
      <c r="C7" s="81" t="s">
        <v>145</v>
      </c>
      <c r="D7" s="81" t="s">
        <v>465</v>
      </c>
      <c r="E7" s="81" t="s">
        <v>417</v>
      </c>
      <c r="F7" s="81" t="s">
        <v>463</v>
      </c>
      <c r="G7" s="81" t="s">
        <v>302</v>
      </c>
      <c r="H7" s="82" t="s">
        <v>5</v>
      </c>
      <c r="I7" s="85" t="s">
        <v>145</v>
      </c>
      <c r="J7" s="113">
        <v>362</v>
      </c>
      <c r="K7" s="113">
        <v>113</v>
      </c>
      <c r="L7" s="83" t="s">
        <v>145</v>
      </c>
      <c r="M7" s="80" t="s">
        <v>145</v>
      </c>
      <c r="N7" s="84">
        <v>3500</v>
      </c>
      <c r="O7" s="84">
        <v>3500</v>
      </c>
      <c r="P7" s="79" t="s">
        <v>72</v>
      </c>
      <c r="Q7" s="81" t="s">
        <v>145</v>
      </c>
      <c r="R7" s="81" t="s">
        <v>145</v>
      </c>
      <c r="S7" s="3" t="s">
        <v>2</v>
      </c>
      <c r="T7" s="3" t="s">
        <v>419</v>
      </c>
      <c r="U7" s="1">
        <v>2019</v>
      </c>
      <c r="V7" s="1" t="s">
        <v>145</v>
      </c>
      <c r="W7" s="1" t="s">
        <v>86</v>
      </c>
      <c r="X7" s="24" t="s">
        <v>145</v>
      </c>
      <c r="Y7" s="24" t="s">
        <v>145</v>
      </c>
      <c r="Z7" s="24" t="s">
        <v>276</v>
      </c>
      <c r="AA7" s="24"/>
    </row>
    <row r="8" spans="1:27" s="15" customFormat="1" ht="38.25" x14ac:dyDescent="0.2">
      <c r="A8" s="3">
        <v>2162</v>
      </c>
      <c r="B8" s="3" t="s">
        <v>74</v>
      </c>
      <c r="C8" s="1" t="s">
        <v>276</v>
      </c>
      <c r="D8" s="3" t="s">
        <v>92</v>
      </c>
      <c r="E8" s="3" t="s">
        <v>6</v>
      </c>
      <c r="F8" s="3" t="s">
        <v>226</v>
      </c>
      <c r="G8" s="1" t="s">
        <v>175</v>
      </c>
      <c r="H8" s="3" t="s">
        <v>5</v>
      </c>
      <c r="I8" s="102">
        <v>2012</v>
      </c>
      <c r="J8" s="23">
        <v>344.6</v>
      </c>
      <c r="K8" s="23">
        <v>91.8</v>
      </c>
      <c r="L8" s="23" t="s">
        <v>145</v>
      </c>
      <c r="M8" s="23">
        <v>277.2</v>
      </c>
      <c r="N8" s="20">
        <v>1500000</v>
      </c>
      <c r="O8" s="20">
        <v>50000</v>
      </c>
      <c r="P8" s="1" t="s">
        <v>276</v>
      </c>
      <c r="Q8" s="30" t="s">
        <v>276</v>
      </c>
      <c r="R8" s="24" t="s">
        <v>145</v>
      </c>
      <c r="S8" s="1" t="s">
        <v>7</v>
      </c>
      <c r="T8" s="3" t="s">
        <v>5</v>
      </c>
      <c r="U8" s="1">
        <v>2012</v>
      </c>
      <c r="V8" s="1" t="s">
        <v>276</v>
      </c>
      <c r="W8" s="1" t="s">
        <v>86</v>
      </c>
      <c r="X8" s="1" t="s">
        <v>276</v>
      </c>
      <c r="Y8" s="1" t="s">
        <v>276</v>
      </c>
      <c r="Z8" s="1" t="s">
        <v>276</v>
      </c>
      <c r="AA8" s="24"/>
    </row>
    <row r="9" spans="1:27" s="15" customFormat="1" ht="38.25" x14ac:dyDescent="0.2">
      <c r="A9" s="3">
        <v>2161</v>
      </c>
      <c r="B9" s="3" t="s">
        <v>74</v>
      </c>
      <c r="C9" s="1" t="s">
        <v>276</v>
      </c>
      <c r="D9" s="3" t="s">
        <v>93</v>
      </c>
      <c r="E9" s="3" t="s">
        <v>8</v>
      </c>
      <c r="F9" s="3" t="s">
        <v>227</v>
      </c>
      <c r="G9" s="1" t="s">
        <v>168</v>
      </c>
      <c r="H9" s="3" t="s">
        <v>5</v>
      </c>
      <c r="I9" s="102">
        <v>2012</v>
      </c>
      <c r="J9" s="23">
        <v>25.5</v>
      </c>
      <c r="K9" s="23">
        <v>4.3</v>
      </c>
      <c r="L9" s="23" t="s">
        <v>145</v>
      </c>
      <c r="M9" s="23">
        <v>10.5</v>
      </c>
      <c r="N9" s="20">
        <v>120000</v>
      </c>
      <c r="O9" s="20">
        <v>6000</v>
      </c>
      <c r="P9" s="1" t="s">
        <v>276</v>
      </c>
      <c r="Q9" s="30" t="s">
        <v>276</v>
      </c>
      <c r="R9" s="24" t="s">
        <v>145</v>
      </c>
      <c r="S9" s="1" t="s">
        <v>7</v>
      </c>
      <c r="T9" s="3" t="s">
        <v>5</v>
      </c>
      <c r="U9" s="1">
        <v>2012</v>
      </c>
      <c r="V9" s="1" t="s">
        <v>276</v>
      </c>
      <c r="W9" s="1" t="s">
        <v>86</v>
      </c>
      <c r="X9" s="1" t="s">
        <v>276</v>
      </c>
      <c r="Y9" s="1" t="s">
        <v>276</v>
      </c>
      <c r="Z9" s="1" t="s">
        <v>276</v>
      </c>
      <c r="AA9" s="24"/>
    </row>
    <row r="10" spans="1:27" s="15" customFormat="1" ht="29.25" customHeight="1" x14ac:dyDescent="0.2">
      <c r="A10" s="3">
        <v>2160</v>
      </c>
      <c r="B10" s="3" t="s">
        <v>74</v>
      </c>
      <c r="C10" s="1" t="s">
        <v>276</v>
      </c>
      <c r="D10" s="3" t="s">
        <v>94</v>
      </c>
      <c r="E10" s="3" t="s">
        <v>9</v>
      </c>
      <c r="F10" s="3" t="s">
        <v>231</v>
      </c>
      <c r="G10" s="1" t="s">
        <v>176</v>
      </c>
      <c r="H10" s="3" t="s">
        <v>5</v>
      </c>
      <c r="I10" s="102">
        <v>2012</v>
      </c>
      <c r="J10" s="23">
        <v>4820.2</v>
      </c>
      <c r="K10" s="23">
        <v>728.6</v>
      </c>
      <c r="L10" s="23" t="s">
        <v>145</v>
      </c>
      <c r="M10" s="23">
        <v>2368.6999999999998</v>
      </c>
      <c r="N10" s="20">
        <v>2000000</v>
      </c>
      <c r="O10" s="20">
        <v>100000</v>
      </c>
      <c r="P10" s="1" t="s">
        <v>276</v>
      </c>
      <c r="Q10" s="30" t="s">
        <v>276</v>
      </c>
      <c r="R10" s="24" t="s">
        <v>145</v>
      </c>
      <c r="S10" s="1" t="s">
        <v>7</v>
      </c>
      <c r="T10" s="3" t="s">
        <v>5</v>
      </c>
      <c r="U10" s="1">
        <v>2012</v>
      </c>
      <c r="V10" s="1" t="s">
        <v>276</v>
      </c>
      <c r="W10" s="1" t="s">
        <v>86</v>
      </c>
      <c r="X10" s="1" t="s">
        <v>145</v>
      </c>
      <c r="Y10" s="1" t="s">
        <v>145</v>
      </c>
      <c r="Z10" s="1" t="s">
        <v>276</v>
      </c>
      <c r="AA10" s="24"/>
    </row>
    <row r="11" spans="1:27" s="15" customFormat="1" ht="37.5" customHeight="1" x14ac:dyDescent="0.2">
      <c r="A11" s="3">
        <v>2159</v>
      </c>
      <c r="B11" s="3" t="s">
        <v>74</v>
      </c>
      <c r="C11" s="1" t="s">
        <v>276</v>
      </c>
      <c r="D11" s="3" t="s">
        <v>95</v>
      </c>
      <c r="E11" s="3" t="s">
        <v>10</v>
      </c>
      <c r="F11" s="3" t="s">
        <v>228</v>
      </c>
      <c r="G11" s="1" t="s">
        <v>175</v>
      </c>
      <c r="H11" s="3" t="s">
        <v>5</v>
      </c>
      <c r="I11" s="102">
        <v>2013</v>
      </c>
      <c r="J11" s="23">
        <v>672</v>
      </c>
      <c r="K11" s="23">
        <v>188.4</v>
      </c>
      <c r="L11" s="23" t="s">
        <v>145</v>
      </c>
      <c r="M11" s="23">
        <v>581.6</v>
      </c>
      <c r="N11" s="20">
        <v>150000</v>
      </c>
      <c r="O11" s="20">
        <v>3000</v>
      </c>
      <c r="P11" s="1" t="s">
        <v>276</v>
      </c>
      <c r="Q11" s="30" t="s">
        <v>276</v>
      </c>
      <c r="R11" s="24" t="s">
        <v>145</v>
      </c>
      <c r="S11" s="1" t="s">
        <v>7</v>
      </c>
      <c r="T11" s="3" t="s">
        <v>5</v>
      </c>
      <c r="U11" s="1">
        <v>2012</v>
      </c>
      <c r="V11" s="1" t="s">
        <v>276</v>
      </c>
      <c r="W11" s="1" t="s">
        <v>86</v>
      </c>
      <c r="X11" s="1" t="s">
        <v>276</v>
      </c>
      <c r="Y11" s="1" t="s">
        <v>276</v>
      </c>
      <c r="Z11" s="1" t="s">
        <v>276</v>
      </c>
      <c r="AA11" s="24"/>
    </row>
    <row r="12" spans="1:27" s="15" customFormat="1" ht="37.5" customHeight="1" x14ac:dyDescent="0.2">
      <c r="A12" s="3">
        <v>2184</v>
      </c>
      <c r="B12" s="3" t="s">
        <v>74</v>
      </c>
      <c r="C12" s="1" t="s">
        <v>276</v>
      </c>
      <c r="D12" s="3" t="s">
        <v>96</v>
      </c>
      <c r="E12" s="3" t="s">
        <v>4</v>
      </c>
      <c r="F12" s="3" t="s">
        <v>229</v>
      </c>
      <c r="G12" s="3" t="s">
        <v>4</v>
      </c>
      <c r="H12" s="3" t="s">
        <v>5</v>
      </c>
      <c r="I12" s="102" t="s">
        <v>145</v>
      </c>
      <c r="J12" s="23">
        <v>1270</v>
      </c>
      <c r="K12" s="23">
        <v>206.4</v>
      </c>
      <c r="L12" s="23" t="s">
        <v>145</v>
      </c>
      <c r="M12" s="23" t="s">
        <v>145</v>
      </c>
      <c r="N12" s="30" t="s">
        <v>276</v>
      </c>
      <c r="O12" s="30" t="s">
        <v>276</v>
      </c>
      <c r="P12" s="1" t="s">
        <v>276</v>
      </c>
      <c r="Q12" s="30" t="s">
        <v>276</v>
      </c>
      <c r="R12" s="1" t="s">
        <v>145</v>
      </c>
      <c r="S12" s="3" t="s">
        <v>2</v>
      </c>
      <c r="T12" s="3" t="s">
        <v>5</v>
      </c>
      <c r="U12" s="1">
        <v>2012</v>
      </c>
      <c r="V12" s="1" t="s">
        <v>276</v>
      </c>
      <c r="W12" s="1" t="s">
        <v>86</v>
      </c>
      <c r="X12" s="1" t="s">
        <v>145</v>
      </c>
      <c r="Y12" s="1" t="s">
        <v>145</v>
      </c>
      <c r="Z12" s="1" t="s">
        <v>276</v>
      </c>
      <c r="AA12" s="24"/>
    </row>
    <row r="13" spans="1:27" s="15" customFormat="1" ht="37.5" customHeight="1" x14ac:dyDescent="0.2">
      <c r="A13" s="3">
        <v>2183</v>
      </c>
      <c r="B13" s="3" t="s">
        <v>74</v>
      </c>
      <c r="C13" s="1" t="s">
        <v>276</v>
      </c>
      <c r="D13" s="3" t="s">
        <v>97</v>
      </c>
      <c r="E13" s="3" t="s">
        <v>11</v>
      </c>
      <c r="F13" s="3" t="s">
        <v>230</v>
      </c>
      <c r="G13" s="3" t="s">
        <v>167</v>
      </c>
      <c r="H13" s="3" t="s">
        <v>5</v>
      </c>
      <c r="I13" s="102" t="s">
        <v>145</v>
      </c>
      <c r="J13" s="23">
        <v>19.100000000000001</v>
      </c>
      <c r="K13" s="23">
        <v>10.4</v>
      </c>
      <c r="L13" s="23" t="s">
        <v>145</v>
      </c>
      <c r="M13" s="23" t="s">
        <v>276</v>
      </c>
      <c r="N13" s="30" t="s">
        <v>276</v>
      </c>
      <c r="O13" s="30" t="s">
        <v>276</v>
      </c>
      <c r="P13" s="1" t="s">
        <v>276</v>
      </c>
      <c r="Q13" s="30" t="s">
        <v>276</v>
      </c>
      <c r="R13" s="1" t="s">
        <v>145</v>
      </c>
      <c r="S13" s="3" t="s">
        <v>2</v>
      </c>
      <c r="T13" s="3" t="s">
        <v>5</v>
      </c>
      <c r="U13" s="1">
        <v>2012</v>
      </c>
      <c r="V13" s="1" t="s">
        <v>276</v>
      </c>
      <c r="W13" s="1" t="s">
        <v>86</v>
      </c>
      <c r="X13" s="1" t="s">
        <v>145</v>
      </c>
      <c r="Y13" s="1" t="s">
        <v>145</v>
      </c>
      <c r="Z13" s="1" t="s">
        <v>276</v>
      </c>
      <c r="AA13" s="24"/>
    </row>
    <row r="14" spans="1:27" s="15" customFormat="1" ht="76.5" x14ac:dyDescent="0.2">
      <c r="A14" s="3">
        <v>2182</v>
      </c>
      <c r="B14" s="3" t="s">
        <v>74</v>
      </c>
      <c r="C14" s="1" t="s">
        <v>276</v>
      </c>
      <c r="D14" s="3" t="s">
        <v>98</v>
      </c>
      <c r="E14" s="82" t="s">
        <v>453</v>
      </c>
      <c r="F14" s="82" t="s">
        <v>454</v>
      </c>
      <c r="G14" s="82" t="s">
        <v>377</v>
      </c>
      <c r="H14" s="82" t="s">
        <v>5</v>
      </c>
      <c r="I14" s="85">
        <v>2019</v>
      </c>
      <c r="J14" s="112">
        <v>441.01132999580636</v>
      </c>
      <c r="K14" s="112">
        <v>28.701688460324895</v>
      </c>
      <c r="L14" s="23" t="s">
        <v>145</v>
      </c>
      <c r="M14" s="23" t="s">
        <v>145</v>
      </c>
      <c r="N14" s="30">
        <v>2400000</v>
      </c>
      <c r="O14" s="30">
        <v>20000</v>
      </c>
      <c r="P14" s="1" t="s">
        <v>434</v>
      </c>
      <c r="Q14" s="30" t="s">
        <v>276</v>
      </c>
      <c r="R14" s="1" t="s">
        <v>433</v>
      </c>
      <c r="S14" s="1" t="s">
        <v>7</v>
      </c>
      <c r="T14" s="2" t="s">
        <v>5</v>
      </c>
      <c r="U14" s="1">
        <v>2015</v>
      </c>
      <c r="V14" s="1" t="s">
        <v>276</v>
      </c>
      <c r="W14" s="1" t="s">
        <v>86</v>
      </c>
      <c r="X14" s="1" t="s">
        <v>276</v>
      </c>
      <c r="Y14" s="1" t="s">
        <v>276</v>
      </c>
      <c r="Z14" s="1" t="s">
        <v>276</v>
      </c>
      <c r="AA14" s="24"/>
    </row>
    <row r="15" spans="1:27" s="15" customFormat="1" ht="76.5" x14ac:dyDescent="0.2">
      <c r="A15" s="3">
        <v>2181</v>
      </c>
      <c r="B15" s="3" t="s">
        <v>74</v>
      </c>
      <c r="C15" s="1" t="s">
        <v>276</v>
      </c>
      <c r="D15" s="3" t="s">
        <v>88</v>
      </c>
      <c r="E15" s="81" t="s">
        <v>435</v>
      </c>
      <c r="F15" s="82" t="s">
        <v>454</v>
      </c>
      <c r="G15" s="82" t="s">
        <v>377</v>
      </c>
      <c r="H15" s="82" t="s">
        <v>5</v>
      </c>
      <c r="I15" s="85">
        <v>2019</v>
      </c>
      <c r="J15" s="112">
        <v>631.49689923668279</v>
      </c>
      <c r="K15" s="112">
        <v>40.282441957520085</v>
      </c>
      <c r="L15" s="23" t="s">
        <v>145</v>
      </c>
      <c r="M15" s="23" t="s">
        <v>276</v>
      </c>
      <c r="N15" s="84">
        <v>2000000</v>
      </c>
      <c r="O15" s="84">
        <v>20000</v>
      </c>
      <c r="P15" s="1" t="s">
        <v>434</v>
      </c>
      <c r="Q15" s="30" t="s">
        <v>276</v>
      </c>
      <c r="R15" s="1" t="s">
        <v>433</v>
      </c>
      <c r="S15" s="1" t="s">
        <v>7</v>
      </c>
      <c r="T15" s="3" t="s">
        <v>5</v>
      </c>
      <c r="U15" s="1">
        <v>2015</v>
      </c>
      <c r="V15" s="1" t="s">
        <v>276</v>
      </c>
      <c r="W15" s="1" t="s">
        <v>86</v>
      </c>
      <c r="X15" s="1" t="s">
        <v>145</v>
      </c>
      <c r="Y15" s="1" t="s">
        <v>145</v>
      </c>
      <c r="Z15" s="1">
        <v>2013</v>
      </c>
      <c r="AA15" s="24"/>
    </row>
    <row r="16" spans="1:27" s="15" customFormat="1" ht="63.75" x14ac:dyDescent="0.2">
      <c r="A16" s="3">
        <v>2167</v>
      </c>
      <c r="B16" s="3" t="s">
        <v>74</v>
      </c>
      <c r="C16" s="1" t="s">
        <v>261</v>
      </c>
      <c r="D16" s="3" t="s">
        <v>189</v>
      </c>
      <c r="E16" s="1" t="s">
        <v>185</v>
      </c>
      <c r="F16" s="82" t="s">
        <v>460</v>
      </c>
      <c r="G16" s="3" t="s">
        <v>186</v>
      </c>
      <c r="H16" s="82" t="s">
        <v>5</v>
      </c>
      <c r="I16" s="97" t="s">
        <v>436</v>
      </c>
      <c r="J16" s="23">
        <v>186</v>
      </c>
      <c r="K16" s="23">
        <v>73</v>
      </c>
      <c r="L16" s="23" t="s">
        <v>145</v>
      </c>
      <c r="M16" s="28">
        <v>288</v>
      </c>
      <c r="N16" s="20">
        <v>600000</v>
      </c>
      <c r="O16" s="30">
        <v>10000</v>
      </c>
      <c r="P16" s="81" t="s">
        <v>261</v>
      </c>
      <c r="Q16" s="30">
        <v>315000</v>
      </c>
      <c r="R16" s="1" t="s">
        <v>187</v>
      </c>
      <c r="S16" s="1" t="s">
        <v>2</v>
      </c>
      <c r="T16" s="1" t="s">
        <v>188</v>
      </c>
      <c r="U16" s="3">
        <v>2017</v>
      </c>
      <c r="V16" s="1" t="s">
        <v>276</v>
      </c>
      <c r="W16" s="1" t="s">
        <v>86</v>
      </c>
      <c r="X16" s="1">
        <v>28.868683545435399</v>
      </c>
      <c r="Y16" s="1">
        <v>-81.244312226772294</v>
      </c>
      <c r="Z16" s="36">
        <v>42969</v>
      </c>
      <c r="AA16" s="24"/>
    </row>
    <row r="17" spans="1:27" ht="76.5" x14ac:dyDescent="0.25">
      <c r="A17" s="119">
        <v>5246</v>
      </c>
      <c r="B17" s="82" t="s">
        <v>74</v>
      </c>
      <c r="C17" s="81" t="s">
        <v>425</v>
      </c>
      <c r="D17" s="82" t="s">
        <v>420</v>
      </c>
      <c r="E17" s="81" t="s">
        <v>426</v>
      </c>
      <c r="F17" s="82" t="s">
        <v>454</v>
      </c>
      <c r="G17" s="82" t="s">
        <v>369</v>
      </c>
      <c r="H17" s="82" t="s">
        <v>188</v>
      </c>
      <c r="I17" s="85">
        <v>2022</v>
      </c>
      <c r="J17" s="83" t="s">
        <v>177</v>
      </c>
      <c r="K17" s="83" t="s">
        <v>177</v>
      </c>
      <c r="L17" s="83" t="s">
        <v>145</v>
      </c>
      <c r="M17" s="80" t="s">
        <v>145</v>
      </c>
      <c r="N17" s="86">
        <v>14300000</v>
      </c>
      <c r="O17" s="84" t="s">
        <v>177</v>
      </c>
      <c r="P17" s="81" t="s">
        <v>434</v>
      </c>
      <c r="Q17" s="84" t="s">
        <v>177</v>
      </c>
      <c r="R17" s="81" t="s">
        <v>177</v>
      </c>
      <c r="S17" s="81" t="s">
        <v>7</v>
      </c>
      <c r="T17" s="82" t="s">
        <v>188</v>
      </c>
      <c r="U17" s="82">
        <v>2019</v>
      </c>
      <c r="V17" s="81" t="s">
        <v>276</v>
      </c>
      <c r="W17" s="81" t="s">
        <v>86</v>
      </c>
      <c r="X17" s="81" t="s">
        <v>276</v>
      </c>
      <c r="Y17" s="81" t="s">
        <v>276</v>
      </c>
      <c r="Z17" s="87" t="s">
        <v>276</v>
      </c>
      <c r="AA17" s="24"/>
    </row>
    <row r="18" spans="1:27" ht="38.25" x14ac:dyDescent="0.25">
      <c r="A18" s="119">
        <v>5247</v>
      </c>
      <c r="B18" s="82" t="s">
        <v>74</v>
      </c>
      <c r="C18" s="81" t="s">
        <v>145</v>
      </c>
      <c r="D18" s="82" t="s">
        <v>421</v>
      </c>
      <c r="E18" s="81" t="s">
        <v>427</v>
      </c>
      <c r="F18" s="82" t="s">
        <v>428</v>
      </c>
      <c r="G18" s="82" t="s">
        <v>168</v>
      </c>
      <c r="H18" s="82" t="s">
        <v>188</v>
      </c>
      <c r="I18" s="85">
        <v>2022</v>
      </c>
      <c r="J18" s="112">
        <v>36.46</v>
      </c>
      <c r="K18" s="112">
        <v>5.45</v>
      </c>
      <c r="L18" s="83" t="s">
        <v>145</v>
      </c>
      <c r="M18" s="80">
        <v>26.44</v>
      </c>
      <c r="N18" s="86">
        <v>250000</v>
      </c>
      <c r="O18" s="84">
        <v>8000</v>
      </c>
      <c r="P18" s="81" t="s">
        <v>276</v>
      </c>
      <c r="Q18" s="81" t="s">
        <v>276</v>
      </c>
      <c r="R18" s="81" t="s">
        <v>276</v>
      </c>
      <c r="S18" s="81" t="s">
        <v>7</v>
      </c>
      <c r="T18" s="82" t="s">
        <v>188</v>
      </c>
      <c r="U18" s="82">
        <v>2019</v>
      </c>
      <c r="V18" s="81" t="s">
        <v>276</v>
      </c>
      <c r="W18" s="81" t="s">
        <v>86</v>
      </c>
      <c r="X18" s="81" t="s">
        <v>276</v>
      </c>
      <c r="Y18" s="81" t="s">
        <v>276</v>
      </c>
      <c r="Z18" s="87" t="s">
        <v>276</v>
      </c>
      <c r="AA18" s="24"/>
    </row>
    <row r="19" spans="1:27" ht="38.25" x14ac:dyDescent="0.25">
      <c r="A19" s="119">
        <v>5248</v>
      </c>
      <c r="B19" s="82" t="s">
        <v>74</v>
      </c>
      <c r="C19" s="81" t="s">
        <v>145</v>
      </c>
      <c r="D19" s="82" t="s">
        <v>422</v>
      </c>
      <c r="E19" s="81" t="s">
        <v>429</v>
      </c>
      <c r="F19" s="82" t="s">
        <v>428</v>
      </c>
      <c r="G19" s="82" t="s">
        <v>168</v>
      </c>
      <c r="H19" s="82" t="s">
        <v>188</v>
      </c>
      <c r="I19" s="85">
        <v>2022</v>
      </c>
      <c r="J19" s="112">
        <v>5.74</v>
      </c>
      <c r="K19" s="112">
        <v>1.84</v>
      </c>
      <c r="L19" s="83" t="s">
        <v>145</v>
      </c>
      <c r="M19" s="80">
        <v>13.7</v>
      </c>
      <c r="N19" s="86">
        <v>200000</v>
      </c>
      <c r="O19" s="84">
        <v>8000</v>
      </c>
      <c r="P19" s="81" t="s">
        <v>276</v>
      </c>
      <c r="Q19" s="81" t="s">
        <v>276</v>
      </c>
      <c r="R19" s="81" t="s">
        <v>276</v>
      </c>
      <c r="S19" s="81" t="s">
        <v>7</v>
      </c>
      <c r="T19" s="82" t="s">
        <v>188</v>
      </c>
      <c r="U19" s="82">
        <v>2019</v>
      </c>
      <c r="V19" s="81" t="s">
        <v>276</v>
      </c>
      <c r="W19" s="81" t="s">
        <v>86</v>
      </c>
      <c r="X19" s="81" t="s">
        <v>276</v>
      </c>
      <c r="Y19" s="81" t="s">
        <v>276</v>
      </c>
      <c r="Z19" s="87" t="s">
        <v>276</v>
      </c>
      <c r="AA19" s="24"/>
    </row>
    <row r="20" spans="1:27" ht="88.5" customHeight="1" x14ac:dyDescent="0.25">
      <c r="A20" s="119">
        <v>5249</v>
      </c>
      <c r="B20" s="82" t="s">
        <v>74</v>
      </c>
      <c r="C20" s="81" t="s">
        <v>425</v>
      </c>
      <c r="D20" s="82" t="s">
        <v>423</v>
      </c>
      <c r="E20" s="81" t="s">
        <v>430</v>
      </c>
      <c r="F20" s="82" t="s">
        <v>454</v>
      </c>
      <c r="G20" s="82" t="s">
        <v>377</v>
      </c>
      <c r="H20" s="82" t="s">
        <v>188</v>
      </c>
      <c r="I20" s="85">
        <v>2024</v>
      </c>
      <c r="J20" s="83" t="s">
        <v>177</v>
      </c>
      <c r="K20" s="83" t="s">
        <v>177</v>
      </c>
      <c r="L20" s="83" t="s">
        <v>145</v>
      </c>
      <c r="M20" s="80" t="s">
        <v>276</v>
      </c>
      <c r="N20" s="86" t="s">
        <v>177</v>
      </c>
      <c r="O20" s="84" t="s">
        <v>177</v>
      </c>
      <c r="P20" s="81" t="s">
        <v>431</v>
      </c>
      <c r="Q20" s="84" t="s">
        <v>177</v>
      </c>
      <c r="R20" s="81" t="s">
        <v>145</v>
      </c>
      <c r="S20" s="81" t="s">
        <v>7</v>
      </c>
      <c r="T20" s="82" t="s">
        <v>188</v>
      </c>
      <c r="U20" s="82">
        <v>2019</v>
      </c>
      <c r="V20" s="81" t="s">
        <v>276</v>
      </c>
      <c r="W20" s="81" t="s">
        <v>86</v>
      </c>
      <c r="X20" s="81" t="s">
        <v>276</v>
      </c>
      <c r="Y20" s="81" t="s">
        <v>276</v>
      </c>
      <c r="Z20" s="87" t="s">
        <v>276</v>
      </c>
      <c r="AA20" s="24"/>
    </row>
    <row r="21" spans="1:27" ht="76.5" x14ac:dyDescent="0.25">
      <c r="A21" s="119">
        <v>5250</v>
      </c>
      <c r="B21" s="82" t="s">
        <v>74</v>
      </c>
      <c r="C21" s="81" t="s">
        <v>425</v>
      </c>
      <c r="D21" s="82" t="s">
        <v>424</v>
      </c>
      <c r="E21" s="81" t="s">
        <v>432</v>
      </c>
      <c r="F21" s="82" t="s">
        <v>454</v>
      </c>
      <c r="G21" s="82" t="s">
        <v>377</v>
      </c>
      <c r="H21" s="82" t="s">
        <v>188</v>
      </c>
      <c r="I21" s="85">
        <v>2029</v>
      </c>
      <c r="J21" s="83" t="s">
        <v>177</v>
      </c>
      <c r="K21" s="83" t="s">
        <v>177</v>
      </c>
      <c r="L21" s="83" t="s">
        <v>145</v>
      </c>
      <c r="M21" s="80">
        <v>16.23</v>
      </c>
      <c r="N21" s="86" t="s">
        <v>177</v>
      </c>
      <c r="O21" s="84" t="s">
        <v>177</v>
      </c>
      <c r="P21" s="81" t="s">
        <v>434</v>
      </c>
      <c r="Q21" s="84" t="s">
        <v>177</v>
      </c>
      <c r="R21" s="81" t="s">
        <v>145</v>
      </c>
      <c r="S21" s="81" t="s">
        <v>7</v>
      </c>
      <c r="T21" s="82" t="s">
        <v>188</v>
      </c>
      <c r="U21" s="82">
        <v>2019</v>
      </c>
      <c r="V21" s="81" t="s">
        <v>276</v>
      </c>
      <c r="W21" s="81" t="s">
        <v>86</v>
      </c>
      <c r="X21" s="81" t="s">
        <v>276</v>
      </c>
      <c r="Y21" s="81" t="s">
        <v>276</v>
      </c>
      <c r="Z21" s="87" t="s">
        <v>276</v>
      </c>
      <c r="AA21" s="24"/>
    </row>
    <row r="22" spans="1:27" s="15" customFormat="1" ht="38.25" x14ac:dyDescent="0.2">
      <c r="A22" s="3">
        <v>2179</v>
      </c>
      <c r="B22" s="3" t="s">
        <v>73</v>
      </c>
      <c r="C22" s="1" t="s">
        <v>276</v>
      </c>
      <c r="D22" s="3" t="s">
        <v>91</v>
      </c>
      <c r="E22" s="1" t="s">
        <v>4</v>
      </c>
      <c r="F22" s="3" t="s">
        <v>232</v>
      </c>
      <c r="G22" s="3" t="s">
        <v>4</v>
      </c>
      <c r="H22" s="3" t="s">
        <v>5</v>
      </c>
      <c r="I22" s="102" t="s">
        <v>145</v>
      </c>
      <c r="J22" s="23">
        <v>9.1</v>
      </c>
      <c r="K22" s="23">
        <v>0.7</v>
      </c>
      <c r="L22" s="23" t="s">
        <v>145</v>
      </c>
      <c r="M22" s="28" t="s">
        <v>276</v>
      </c>
      <c r="N22" s="30" t="s">
        <v>276</v>
      </c>
      <c r="O22" s="30" t="s">
        <v>276</v>
      </c>
      <c r="P22" s="1" t="s">
        <v>276</v>
      </c>
      <c r="Q22" s="30" t="s">
        <v>276</v>
      </c>
      <c r="R22" s="1" t="s">
        <v>145</v>
      </c>
      <c r="S22" s="3" t="s">
        <v>2</v>
      </c>
      <c r="T22" s="3" t="s">
        <v>5</v>
      </c>
      <c r="U22" s="1">
        <v>2012</v>
      </c>
      <c r="V22" s="1" t="s">
        <v>276</v>
      </c>
      <c r="W22" s="1" t="s">
        <v>86</v>
      </c>
      <c r="X22" s="1" t="s">
        <v>145</v>
      </c>
      <c r="Y22" s="1" t="s">
        <v>145</v>
      </c>
      <c r="Z22" s="1" t="s">
        <v>276</v>
      </c>
      <c r="AA22" s="24"/>
    </row>
    <row r="23" spans="1:27" s="15" customFormat="1" ht="25.5" x14ac:dyDescent="0.2">
      <c r="A23" s="3">
        <v>2191</v>
      </c>
      <c r="B23" s="3" t="s">
        <v>178</v>
      </c>
      <c r="C23" s="1" t="s">
        <v>145</v>
      </c>
      <c r="D23" s="1" t="s">
        <v>155</v>
      </c>
      <c r="E23" s="1" t="s">
        <v>79</v>
      </c>
      <c r="F23" s="3" t="s">
        <v>411</v>
      </c>
      <c r="G23" s="3" t="s">
        <v>171</v>
      </c>
      <c r="H23" s="3" t="s">
        <v>5</v>
      </c>
      <c r="I23" s="102">
        <v>2012</v>
      </c>
      <c r="J23" s="23">
        <v>15043.1</v>
      </c>
      <c r="K23" s="23">
        <v>2953.3</v>
      </c>
      <c r="L23" s="23" t="s">
        <v>145</v>
      </c>
      <c r="M23" s="23" t="s">
        <v>145</v>
      </c>
      <c r="N23" s="20" t="s">
        <v>145</v>
      </c>
      <c r="O23" s="20" t="s">
        <v>145</v>
      </c>
      <c r="P23" s="24" t="s">
        <v>145</v>
      </c>
      <c r="Q23" s="24" t="s">
        <v>145</v>
      </c>
      <c r="R23" s="24" t="s">
        <v>145</v>
      </c>
      <c r="S23" s="3" t="s">
        <v>2</v>
      </c>
      <c r="T23" s="3" t="s">
        <v>3</v>
      </c>
      <c r="U23" s="1">
        <v>2012</v>
      </c>
      <c r="V23" s="1" t="s">
        <v>276</v>
      </c>
      <c r="W23" s="1" t="s">
        <v>86</v>
      </c>
      <c r="X23" s="24" t="s">
        <v>145</v>
      </c>
      <c r="Y23" s="24" t="s">
        <v>145</v>
      </c>
      <c r="Z23" s="24" t="s">
        <v>145</v>
      </c>
      <c r="AA23" s="24"/>
    </row>
    <row r="24" spans="1:27" s="15" customFormat="1" ht="38.25" x14ac:dyDescent="0.2">
      <c r="A24" s="3">
        <v>2177</v>
      </c>
      <c r="B24" s="3" t="s">
        <v>178</v>
      </c>
      <c r="C24" s="1" t="s">
        <v>145</v>
      </c>
      <c r="D24" s="1" t="s">
        <v>156</v>
      </c>
      <c r="E24" s="1" t="s">
        <v>80</v>
      </c>
      <c r="F24" s="3" t="s">
        <v>233</v>
      </c>
      <c r="G24" s="3" t="s">
        <v>172</v>
      </c>
      <c r="H24" s="3" t="s">
        <v>5</v>
      </c>
      <c r="I24" s="102">
        <v>2012</v>
      </c>
      <c r="J24" s="23">
        <v>1416.6</v>
      </c>
      <c r="K24" s="23">
        <v>241.4</v>
      </c>
      <c r="L24" s="23" t="s">
        <v>145</v>
      </c>
      <c r="M24" s="23" t="s">
        <v>145</v>
      </c>
      <c r="N24" s="20" t="s">
        <v>145</v>
      </c>
      <c r="O24" s="20" t="s">
        <v>145</v>
      </c>
      <c r="P24" s="24" t="s">
        <v>145</v>
      </c>
      <c r="Q24" s="24" t="s">
        <v>145</v>
      </c>
      <c r="R24" s="24" t="s">
        <v>145</v>
      </c>
      <c r="S24" s="3" t="s">
        <v>2</v>
      </c>
      <c r="T24" s="3" t="s">
        <v>3</v>
      </c>
      <c r="U24" s="1">
        <v>2012</v>
      </c>
      <c r="V24" s="1" t="s">
        <v>276</v>
      </c>
      <c r="W24" s="1" t="s">
        <v>86</v>
      </c>
      <c r="X24" s="24" t="s">
        <v>145</v>
      </c>
      <c r="Y24" s="24" t="s">
        <v>145</v>
      </c>
      <c r="Z24" s="24" t="s">
        <v>145</v>
      </c>
      <c r="AA24" s="24"/>
    </row>
    <row r="25" spans="1:27" s="15" customFormat="1" ht="25.5" x14ac:dyDescent="0.2">
      <c r="A25" s="3">
        <v>2176</v>
      </c>
      <c r="B25" s="3" t="s">
        <v>178</v>
      </c>
      <c r="C25" s="1" t="s">
        <v>145</v>
      </c>
      <c r="D25" s="1" t="s">
        <v>157</v>
      </c>
      <c r="E25" s="1" t="s">
        <v>300</v>
      </c>
      <c r="F25" s="3" t="s">
        <v>410</v>
      </c>
      <c r="G25" s="3" t="s">
        <v>173</v>
      </c>
      <c r="H25" s="3" t="s">
        <v>5</v>
      </c>
      <c r="I25" s="102">
        <v>2013</v>
      </c>
      <c r="J25" s="23">
        <v>4046.8</v>
      </c>
      <c r="K25" s="23">
        <v>800.2</v>
      </c>
      <c r="L25" s="23" t="s">
        <v>145</v>
      </c>
      <c r="M25" s="23" t="s">
        <v>145</v>
      </c>
      <c r="N25" s="86" t="s">
        <v>145</v>
      </c>
      <c r="O25" s="86" t="s">
        <v>145</v>
      </c>
      <c r="P25" s="79" t="s">
        <v>178</v>
      </c>
      <c r="Q25" s="24" t="s">
        <v>145</v>
      </c>
      <c r="R25" s="24" t="s">
        <v>145</v>
      </c>
      <c r="S25" s="3" t="s">
        <v>2</v>
      </c>
      <c r="T25" s="3" t="s">
        <v>5</v>
      </c>
      <c r="U25" s="1">
        <v>2013</v>
      </c>
      <c r="V25" s="1" t="s">
        <v>276</v>
      </c>
      <c r="W25" s="1" t="s">
        <v>86</v>
      </c>
      <c r="X25" s="24" t="s">
        <v>145</v>
      </c>
      <c r="Y25" s="24" t="s">
        <v>145</v>
      </c>
      <c r="Z25" s="24" t="s">
        <v>145</v>
      </c>
      <c r="AA25" s="24"/>
    </row>
    <row r="26" spans="1:27" s="15" customFormat="1" ht="37.5" customHeight="1" x14ac:dyDescent="0.2">
      <c r="A26" s="3">
        <v>2175</v>
      </c>
      <c r="B26" s="3" t="s">
        <v>178</v>
      </c>
      <c r="C26" s="1" t="s">
        <v>145</v>
      </c>
      <c r="D26" s="1" t="s">
        <v>221</v>
      </c>
      <c r="E26" s="1" t="s">
        <v>300</v>
      </c>
      <c r="F26" s="3" t="s">
        <v>410</v>
      </c>
      <c r="G26" s="3" t="s">
        <v>173</v>
      </c>
      <c r="H26" s="3" t="s">
        <v>5</v>
      </c>
      <c r="I26" s="102">
        <v>2014</v>
      </c>
      <c r="J26" s="23">
        <v>3747.1</v>
      </c>
      <c r="K26" s="23">
        <v>684.9</v>
      </c>
      <c r="L26" s="23" t="s">
        <v>145</v>
      </c>
      <c r="M26" s="23" t="s">
        <v>145</v>
      </c>
      <c r="N26" s="86" t="s">
        <v>145</v>
      </c>
      <c r="O26" s="86" t="s">
        <v>145</v>
      </c>
      <c r="P26" s="79" t="s">
        <v>178</v>
      </c>
      <c r="Q26" s="24" t="s">
        <v>145</v>
      </c>
      <c r="R26" s="24" t="s">
        <v>145</v>
      </c>
      <c r="S26" s="3" t="s">
        <v>2</v>
      </c>
      <c r="T26" s="3" t="s">
        <v>5</v>
      </c>
      <c r="U26" s="1">
        <v>2014</v>
      </c>
      <c r="V26" s="1" t="s">
        <v>276</v>
      </c>
      <c r="W26" s="1" t="s">
        <v>86</v>
      </c>
      <c r="X26" s="24" t="s">
        <v>145</v>
      </c>
      <c r="Y26" s="24" t="s">
        <v>145</v>
      </c>
      <c r="Z26" s="24" t="s">
        <v>145</v>
      </c>
      <c r="AA26" s="24"/>
    </row>
    <row r="27" spans="1:27" s="15" customFormat="1" ht="37.5" customHeight="1" x14ac:dyDescent="0.2">
      <c r="A27" s="3">
        <v>2174</v>
      </c>
      <c r="B27" s="3" t="s">
        <v>178</v>
      </c>
      <c r="C27" s="1" t="s">
        <v>145</v>
      </c>
      <c r="D27" s="1" t="s">
        <v>222</v>
      </c>
      <c r="E27" s="1" t="s">
        <v>300</v>
      </c>
      <c r="F27" s="3" t="s">
        <v>410</v>
      </c>
      <c r="G27" s="3" t="s">
        <v>173</v>
      </c>
      <c r="H27" s="3" t="s">
        <v>5</v>
      </c>
      <c r="I27" s="103">
        <v>2015</v>
      </c>
      <c r="J27" s="23">
        <v>8252</v>
      </c>
      <c r="K27" s="23">
        <v>1538.6</v>
      </c>
      <c r="L27" s="23" t="s">
        <v>145</v>
      </c>
      <c r="M27" s="23" t="s">
        <v>145</v>
      </c>
      <c r="N27" s="86" t="s">
        <v>145</v>
      </c>
      <c r="O27" s="86" t="s">
        <v>145</v>
      </c>
      <c r="P27" s="79" t="s">
        <v>178</v>
      </c>
      <c r="Q27" s="24" t="s">
        <v>145</v>
      </c>
      <c r="R27" s="24" t="s">
        <v>145</v>
      </c>
      <c r="S27" s="3" t="s">
        <v>2</v>
      </c>
      <c r="T27" s="3" t="s">
        <v>5</v>
      </c>
      <c r="U27" s="1">
        <v>2015</v>
      </c>
      <c r="V27" s="1" t="s">
        <v>276</v>
      </c>
      <c r="W27" s="1" t="s">
        <v>86</v>
      </c>
      <c r="X27" s="24" t="s">
        <v>145</v>
      </c>
      <c r="Y27" s="24" t="s">
        <v>145</v>
      </c>
      <c r="Z27" s="24" t="s">
        <v>145</v>
      </c>
      <c r="AA27" s="24"/>
    </row>
    <row r="28" spans="1:27" s="15" customFormat="1" ht="25.5" x14ac:dyDescent="0.2">
      <c r="A28" s="3">
        <v>2173</v>
      </c>
      <c r="B28" s="3" t="s">
        <v>178</v>
      </c>
      <c r="C28" s="1" t="s">
        <v>145</v>
      </c>
      <c r="D28" s="1" t="s">
        <v>223</v>
      </c>
      <c r="E28" s="1" t="s">
        <v>300</v>
      </c>
      <c r="F28" s="3" t="s">
        <v>410</v>
      </c>
      <c r="G28" s="3" t="s">
        <v>173</v>
      </c>
      <c r="H28" s="3" t="s">
        <v>5</v>
      </c>
      <c r="I28" s="102">
        <v>2016</v>
      </c>
      <c r="J28" s="23">
        <v>10723</v>
      </c>
      <c r="K28" s="23">
        <v>1903</v>
      </c>
      <c r="L28" s="23" t="s">
        <v>145</v>
      </c>
      <c r="M28" s="23" t="s">
        <v>145</v>
      </c>
      <c r="N28" s="86" t="s">
        <v>145</v>
      </c>
      <c r="O28" s="86" t="s">
        <v>145</v>
      </c>
      <c r="P28" s="79" t="s">
        <v>178</v>
      </c>
      <c r="Q28" s="24" t="s">
        <v>145</v>
      </c>
      <c r="R28" s="24" t="s">
        <v>145</v>
      </c>
      <c r="S28" s="3" t="s">
        <v>2</v>
      </c>
      <c r="T28" s="3" t="s">
        <v>5</v>
      </c>
      <c r="U28" s="1">
        <v>2016</v>
      </c>
      <c r="V28" s="1" t="s">
        <v>276</v>
      </c>
      <c r="W28" s="1" t="s">
        <v>86</v>
      </c>
      <c r="X28" s="24" t="s">
        <v>145</v>
      </c>
      <c r="Y28" s="24" t="s">
        <v>145</v>
      </c>
      <c r="Z28" s="24" t="s">
        <v>145</v>
      </c>
      <c r="AA28" s="24"/>
    </row>
    <row r="29" spans="1:27" s="15" customFormat="1" ht="51" x14ac:dyDescent="0.2">
      <c r="A29" s="3">
        <v>4834</v>
      </c>
      <c r="B29" s="3" t="s">
        <v>178</v>
      </c>
      <c r="C29" s="1" t="s">
        <v>407</v>
      </c>
      <c r="D29" s="1" t="s">
        <v>408</v>
      </c>
      <c r="E29" s="1" t="s">
        <v>409</v>
      </c>
      <c r="F29" s="82" t="s">
        <v>464</v>
      </c>
      <c r="G29" s="88" t="s">
        <v>173</v>
      </c>
      <c r="H29" s="99" t="s">
        <v>5</v>
      </c>
      <c r="I29" s="104" t="s">
        <v>145</v>
      </c>
      <c r="J29" s="89">
        <v>6354</v>
      </c>
      <c r="K29" s="90">
        <v>1054</v>
      </c>
      <c r="L29" s="23" t="s">
        <v>145</v>
      </c>
      <c r="M29" s="83">
        <v>5716</v>
      </c>
      <c r="N29" s="86" t="s">
        <v>177</v>
      </c>
      <c r="O29" s="86" t="s">
        <v>177</v>
      </c>
      <c r="P29" s="79" t="s">
        <v>178</v>
      </c>
      <c r="Q29" s="24" t="s">
        <v>177</v>
      </c>
      <c r="R29" s="24" t="s">
        <v>145</v>
      </c>
      <c r="S29" s="3" t="s">
        <v>2</v>
      </c>
      <c r="T29" s="3" t="s">
        <v>5</v>
      </c>
      <c r="U29" s="1">
        <v>2018</v>
      </c>
      <c r="V29" s="1" t="s">
        <v>412</v>
      </c>
      <c r="W29" s="1" t="s">
        <v>86</v>
      </c>
      <c r="X29" s="24" t="s">
        <v>145</v>
      </c>
      <c r="Y29" s="24" t="s">
        <v>145</v>
      </c>
      <c r="Z29" s="24" t="s">
        <v>145</v>
      </c>
      <c r="AA29" s="24"/>
    </row>
    <row r="30" spans="1:27" s="15" customFormat="1" ht="38.25" x14ac:dyDescent="0.2">
      <c r="A30" s="64">
        <v>2172</v>
      </c>
      <c r="B30" s="3" t="s">
        <v>290</v>
      </c>
      <c r="C30" s="91" t="s">
        <v>145</v>
      </c>
      <c r="D30" s="3" t="s">
        <v>87</v>
      </c>
      <c r="E30" s="65" t="s">
        <v>12</v>
      </c>
      <c r="F30" s="34" t="s">
        <v>234</v>
      </c>
      <c r="G30" s="3" t="s">
        <v>175</v>
      </c>
      <c r="H30" s="25" t="s">
        <v>5</v>
      </c>
      <c r="I30" s="105">
        <v>2007</v>
      </c>
      <c r="J30" s="26">
        <v>19.7</v>
      </c>
      <c r="K30" s="23">
        <v>2.2000000000000002</v>
      </c>
      <c r="L30" s="23" t="s">
        <v>145</v>
      </c>
      <c r="M30" s="23">
        <v>21.6</v>
      </c>
      <c r="N30" s="30" t="s">
        <v>276</v>
      </c>
      <c r="O30" s="30" t="s">
        <v>276</v>
      </c>
      <c r="P30" s="1" t="s">
        <v>291</v>
      </c>
      <c r="Q30" s="1" t="s">
        <v>276</v>
      </c>
      <c r="R30" s="1" t="s">
        <v>145</v>
      </c>
      <c r="S30" s="1" t="s">
        <v>7</v>
      </c>
      <c r="T30" s="3" t="s">
        <v>5</v>
      </c>
      <c r="U30" s="1">
        <v>2012</v>
      </c>
      <c r="V30" s="34" t="s">
        <v>214</v>
      </c>
      <c r="W30" s="1" t="s">
        <v>86</v>
      </c>
      <c r="X30" s="34">
        <v>29.018822</v>
      </c>
      <c r="Y30" s="34">
        <v>-81.214544000000004</v>
      </c>
      <c r="Z30" s="34">
        <v>2003</v>
      </c>
      <c r="AA30" s="24"/>
    </row>
    <row r="31" spans="1:27" s="15" customFormat="1" ht="38.25" x14ac:dyDescent="0.2">
      <c r="A31" s="64">
        <v>2171</v>
      </c>
      <c r="B31" s="3" t="s">
        <v>290</v>
      </c>
      <c r="C31" s="91" t="s">
        <v>145</v>
      </c>
      <c r="D31" s="3" t="s">
        <v>99</v>
      </c>
      <c r="E31" s="65" t="s">
        <v>23</v>
      </c>
      <c r="F31" s="34" t="s">
        <v>234</v>
      </c>
      <c r="G31" s="3" t="s">
        <v>175</v>
      </c>
      <c r="H31" s="25" t="s">
        <v>5</v>
      </c>
      <c r="I31" s="105">
        <v>2007</v>
      </c>
      <c r="J31" s="26">
        <v>11.7</v>
      </c>
      <c r="K31" s="23">
        <v>0.6</v>
      </c>
      <c r="L31" s="23" t="s">
        <v>145</v>
      </c>
      <c r="M31" s="23">
        <v>24.9</v>
      </c>
      <c r="N31" s="30" t="s">
        <v>276</v>
      </c>
      <c r="O31" s="30" t="s">
        <v>276</v>
      </c>
      <c r="P31" s="1" t="s">
        <v>291</v>
      </c>
      <c r="Q31" s="1" t="s">
        <v>276</v>
      </c>
      <c r="R31" s="1" t="s">
        <v>145</v>
      </c>
      <c r="S31" s="1" t="s">
        <v>7</v>
      </c>
      <c r="T31" s="3" t="s">
        <v>5</v>
      </c>
      <c r="U31" s="1">
        <v>2012</v>
      </c>
      <c r="V31" s="34" t="s">
        <v>214</v>
      </c>
      <c r="W31" s="1" t="s">
        <v>86</v>
      </c>
      <c r="X31" s="34">
        <v>29.021801</v>
      </c>
      <c r="Y31" s="34">
        <v>-81.204682000000005</v>
      </c>
      <c r="Z31" s="34">
        <v>2003</v>
      </c>
      <c r="AA31" s="24"/>
    </row>
    <row r="32" spans="1:27" s="15" customFormat="1" ht="38.25" x14ac:dyDescent="0.2">
      <c r="A32" s="64">
        <v>2170</v>
      </c>
      <c r="B32" s="3" t="s">
        <v>290</v>
      </c>
      <c r="C32" s="91" t="s">
        <v>145</v>
      </c>
      <c r="D32" s="3" t="s">
        <v>100</v>
      </c>
      <c r="E32" s="65" t="s">
        <v>36</v>
      </c>
      <c r="F32" s="34" t="s">
        <v>234</v>
      </c>
      <c r="G32" s="3" t="s">
        <v>175</v>
      </c>
      <c r="H32" s="25" t="s">
        <v>5</v>
      </c>
      <c r="I32" s="105">
        <v>2007</v>
      </c>
      <c r="J32" s="26">
        <v>15.8</v>
      </c>
      <c r="K32" s="23">
        <v>0.8</v>
      </c>
      <c r="L32" s="23" t="s">
        <v>145</v>
      </c>
      <c r="M32" s="23">
        <v>35.200000000000003</v>
      </c>
      <c r="N32" s="30" t="s">
        <v>276</v>
      </c>
      <c r="O32" s="30" t="s">
        <v>276</v>
      </c>
      <c r="P32" s="1" t="s">
        <v>291</v>
      </c>
      <c r="Q32" s="1" t="s">
        <v>276</v>
      </c>
      <c r="R32" s="1" t="s">
        <v>145</v>
      </c>
      <c r="S32" s="1" t="s">
        <v>7</v>
      </c>
      <c r="T32" s="3" t="s">
        <v>5</v>
      </c>
      <c r="U32" s="1">
        <v>2012</v>
      </c>
      <c r="V32" s="34" t="s">
        <v>214</v>
      </c>
      <c r="W32" s="1" t="s">
        <v>86</v>
      </c>
      <c r="X32" s="34">
        <v>29.025358000000001</v>
      </c>
      <c r="Y32" s="34">
        <v>-81.193218999999999</v>
      </c>
      <c r="Z32" s="34">
        <v>2003</v>
      </c>
      <c r="AA32" s="24"/>
    </row>
    <row r="33" spans="1:27" s="15" customFormat="1" ht="38.25" x14ac:dyDescent="0.2">
      <c r="A33" s="64">
        <v>2169</v>
      </c>
      <c r="B33" s="3" t="s">
        <v>290</v>
      </c>
      <c r="C33" s="91" t="s">
        <v>145</v>
      </c>
      <c r="D33" s="3" t="s">
        <v>101</v>
      </c>
      <c r="E33" s="65" t="s">
        <v>49</v>
      </c>
      <c r="F33" s="34" t="s">
        <v>234</v>
      </c>
      <c r="G33" s="3" t="s">
        <v>175</v>
      </c>
      <c r="H33" s="25" t="s">
        <v>5</v>
      </c>
      <c r="I33" s="105">
        <v>2007</v>
      </c>
      <c r="J33" s="26">
        <v>13.6</v>
      </c>
      <c r="K33" s="23">
        <v>0.7</v>
      </c>
      <c r="L33" s="23" t="s">
        <v>145</v>
      </c>
      <c r="M33" s="23">
        <v>18.8</v>
      </c>
      <c r="N33" s="30" t="s">
        <v>276</v>
      </c>
      <c r="O33" s="30" t="s">
        <v>276</v>
      </c>
      <c r="P33" s="1" t="s">
        <v>291</v>
      </c>
      <c r="Q33" s="1" t="s">
        <v>276</v>
      </c>
      <c r="R33" s="1" t="s">
        <v>145</v>
      </c>
      <c r="S33" s="1" t="s">
        <v>7</v>
      </c>
      <c r="T33" s="3" t="s">
        <v>5</v>
      </c>
      <c r="U33" s="1">
        <v>2012</v>
      </c>
      <c r="V33" s="34" t="s">
        <v>214</v>
      </c>
      <c r="W33" s="1" t="s">
        <v>86</v>
      </c>
      <c r="X33" s="34">
        <v>29.028413</v>
      </c>
      <c r="Y33" s="34">
        <v>-81.151553000000007</v>
      </c>
      <c r="Z33" s="34">
        <v>2003</v>
      </c>
      <c r="AA33" s="24"/>
    </row>
    <row r="34" spans="1:27" s="15" customFormat="1" ht="38.25" x14ac:dyDescent="0.2">
      <c r="A34" s="64">
        <v>2168</v>
      </c>
      <c r="B34" s="3" t="s">
        <v>290</v>
      </c>
      <c r="C34" s="91" t="s">
        <v>145</v>
      </c>
      <c r="D34" s="3" t="s">
        <v>102</v>
      </c>
      <c r="E34" s="65" t="s">
        <v>52</v>
      </c>
      <c r="F34" s="34" t="s">
        <v>234</v>
      </c>
      <c r="G34" s="3" t="s">
        <v>175</v>
      </c>
      <c r="H34" s="25" t="s">
        <v>5</v>
      </c>
      <c r="I34" s="105">
        <v>2007</v>
      </c>
      <c r="J34" s="26">
        <v>13.3</v>
      </c>
      <c r="K34" s="23">
        <v>8.6</v>
      </c>
      <c r="L34" s="23" t="s">
        <v>145</v>
      </c>
      <c r="M34" s="23">
        <v>13.4</v>
      </c>
      <c r="N34" s="30" t="s">
        <v>276</v>
      </c>
      <c r="O34" s="30" t="s">
        <v>276</v>
      </c>
      <c r="P34" s="1" t="s">
        <v>291</v>
      </c>
      <c r="Q34" s="1" t="s">
        <v>276</v>
      </c>
      <c r="R34" s="1" t="s">
        <v>145</v>
      </c>
      <c r="S34" s="1" t="s">
        <v>7</v>
      </c>
      <c r="T34" s="3" t="s">
        <v>5</v>
      </c>
      <c r="U34" s="1">
        <v>2012</v>
      </c>
      <c r="V34" s="34" t="s">
        <v>214</v>
      </c>
      <c r="W34" s="1" t="s">
        <v>86</v>
      </c>
      <c r="X34" s="34">
        <v>29.017060000000001</v>
      </c>
      <c r="Y34" s="34">
        <v>-81.104698999999997</v>
      </c>
      <c r="Z34" s="34">
        <v>2003</v>
      </c>
      <c r="AA34" s="24"/>
    </row>
    <row r="35" spans="1:27" s="15" customFormat="1" ht="38.25" x14ac:dyDescent="0.2">
      <c r="A35" s="64">
        <v>2185</v>
      </c>
      <c r="B35" s="3" t="s">
        <v>290</v>
      </c>
      <c r="C35" s="91" t="s">
        <v>145</v>
      </c>
      <c r="D35" s="3" t="s">
        <v>103</v>
      </c>
      <c r="E35" s="65" t="s">
        <v>53</v>
      </c>
      <c r="F35" s="34" t="s">
        <v>234</v>
      </c>
      <c r="G35" s="3" t="s">
        <v>175</v>
      </c>
      <c r="H35" s="25" t="s">
        <v>5</v>
      </c>
      <c r="I35" s="105">
        <v>2007</v>
      </c>
      <c r="J35" s="26">
        <v>25.4</v>
      </c>
      <c r="K35" s="23">
        <v>6.2</v>
      </c>
      <c r="L35" s="23" t="s">
        <v>145</v>
      </c>
      <c r="M35" s="23">
        <v>44.3</v>
      </c>
      <c r="N35" s="30" t="s">
        <v>276</v>
      </c>
      <c r="O35" s="30" t="s">
        <v>276</v>
      </c>
      <c r="P35" s="1" t="s">
        <v>291</v>
      </c>
      <c r="Q35" s="1" t="s">
        <v>276</v>
      </c>
      <c r="R35" s="1" t="s">
        <v>145</v>
      </c>
      <c r="S35" s="1" t="s">
        <v>7</v>
      </c>
      <c r="T35" s="3" t="s">
        <v>5</v>
      </c>
      <c r="U35" s="1">
        <v>2012</v>
      </c>
      <c r="V35" s="34" t="s">
        <v>214</v>
      </c>
      <c r="W35" s="1" t="s">
        <v>86</v>
      </c>
      <c r="X35" s="34">
        <v>29.020569999999999</v>
      </c>
      <c r="Y35" s="34">
        <v>-81.111258000000007</v>
      </c>
      <c r="Z35" s="34">
        <v>2003</v>
      </c>
      <c r="AA35" s="24"/>
    </row>
    <row r="36" spans="1:27" s="15" customFormat="1" ht="38.25" x14ac:dyDescent="0.2">
      <c r="A36" s="64">
        <v>2186</v>
      </c>
      <c r="B36" s="3" t="s">
        <v>290</v>
      </c>
      <c r="C36" s="91" t="s">
        <v>145</v>
      </c>
      <c r="D36" s="3" t="s">
        <v>104</v>
      </c>
      <c r="E36" s="65" t="s">
        <v>54</v>
      </c>
      <c r="F36" s="34" t="s">
        <v>234</v>
      </c>
      <c r="G36" s="3" t="s">
        <v>175</v>
      </c>
      <c r="H36" s="25" t="s">
        <v>5</v>
      </c>
      <c r="I36" s="105">
        <v>2007</v>
      </c>
      <c r="J36" s="26">
        <v>25.2</v>
      </c>
      <c r="K36" s="23">
        <v>2.7</v>
      </c>
      <c r="L36" s="23" t="s">
        <v>145</v>
      </c>
      <c r="M36" s="23">
        <v>33.1</v>
      </c>
      <c r="N36" s="30" t="s">
        <v>276</v>
      </c>
      <c r="O36" s="30" t="s">
        <v>276</v>
      </c>
      <c r="P36" s="1" t="s">
        <v>291</v>
      </c>
      <c r="Q36" s="1" t="s">
        <v>276</v>
      </c>
      <c r="R36" s="1" t="s">
        <v>145</v>
      </c>
      <c r="S36" s="1" t="s">
        <v>7</v>
      </c>
      <c r="T36" s="3" t="s">
        <v>5</v>
      </c>
      <c r="U36" s="1">
        <v>2012</v>
      </c>
      <c r="V36" s="34" t="s">
        <v>214</v>
      </c>
      <c r="W36" s="1" t="s">
        <v>86</v>
      </c>
      <c r="X36" s="34">
        <v>29.029285000000002</v>
      </c>
      <c r="Y36" s="34">
        <v>-81.172009000000003</v>
      </c>
      <c r="Z36" s="34">
        <v>2003</v>
      </c>
      <c r="AA36" s="24"/>
    </row>
    <row r="37" spans="1:27" s="15" customFormat="1" ht="38.25" x14ac:dyDescent="0.2">
      <c r="A37" s="64">
        <v>2187</v>
      </c>
      <c r="B37" s="3" t="s">
        <v>290</v>
      </c>
      <c r="C37" s="91" t="s">
        <v>145</v>
      </c>
      <c r="D37" s="3" t="s">
        <v>105</v>
      </c>
      <c r="E37" s="65" t="s">
        <v>55</v>
      </c>
      <c r="F37" s="34" t="s">
        <v>234</v>
      </c>
      <c r="G37" s="3" t="s">
        <v>175</v>
      </c>
      <c r="H37" s="25" t="s">
        <v>5</v>
      </c>
      <c r="I37" s="105">
        <v>2007</v>
      </c>
      <c r="J37" s="26">
        <v>19.899999999999999</v>
      </c>
      <c r="K37" s="23">
        <v>1.4</v>
      </c>
      <c r="L37" s="23" t="s">
        <v>145</v>
      </c>
      <c r="M37" s="23">
        <v>26.9</v>
      </c>
      <c r="N37" s="30" t="s">
        <v>276</v>
      </c>
      <c r="O37" s="30" t="s">
        <v>276</v>
      </c>
      <c r="P37" s="1" t="s">
        <v>291</v>
      </c>
      <c r="Q37" s="1" t="s">
        <v>276</v>
      </c>
      <c r="R37" s="1" t="s">
        <v>145</v>
      </c>
      <c r="S37" s="1" t="s">
        <v>7</v>
      </c>
      <c r="T37" s="3" t="s">
        <v>5</v>
      </c>
      <c r="U37" s="1">
        <v>2012</v>
      </c>
      <c r="V37" s="34" t="s">
        <v>214</v>
      </c>
      <c r="W37" s="1" t="s">
        <v>86</v>
      </c>
      <c r="X37" s="34">
        <v>29.026323000000001</v>
      </c>
      <c r="Y37" s="34">
        <v>-81.136229999999998</v>
      </c>
      <c r="Z37" s="34">
        <v>2003</v>
      </c>
      <c r="AA37" s="24"/>
    </row>
    <row r="38" spans="1:27" s="15" customFormat="1" ht="38.25" x14ac:dyDescent="0.2">
      <c r="A38" s="64">
        <v>2188</v>
      </c>
      <c r="B38" s="3" t="s">
        <v>290</v>
      </c>
      <c r="C38" s="91" t="s">
        <v>145</v>
      </c>
      <c r="D38" s="3" t="s">
        <v>106</v>
      </c>
      <c r="E38" s="65" t="s">
        <v>56</v>
      </c>
      <c r="F38" s="34" t="s">
        <v>234</v>
      </c>
      <c r="G38" s="3" t="s">
        <v>175</v>
      </c>
      <c r="H38" s="25" t="s">
        <v>5</v>
      </c>
      <c r="I38" s="105">
        <v>2007</v>
      </c>
      <c r="J38" s="26">
        <v>3.8</v>
      </c>
      <c r="K38" s="23">
        <v>2.7</v>
      </c>
      <c r="L38" s="23" t="s">
        <v>145</v>
      </c>
      <c r="M38" s="23">
        <v>3.6</v>
      </c>
      <c r="N38" s="30" t="s">
        <v>276</v>
      </c>
      <c r="O38" s="30" t="s">
        <v>276</v>
      </c>
      <c r="P38" s="1" t="s">
        <v>291</v>
      </c>
      <c r="Q38" s="1" t="s">
        <v>276</v>
      </c>
      <c r="R38" s="1" t="s">
        <v>145</v>
      </c>
      <c r="S38" s="1" t="s">
        <v>7</v>
      </c>
      <c r="T38" s="3" t="s">
        <v>5</v>
      </c>
      <c r="U38" s="1">
        <v>2012</v>
      </c>
      <c r="V38" s="34" t="s">
        <v>214</v>
      </c>
      <c r="W38" s="1" t="s">
        <v>86</v>
      </c>
      <c r="X38" s="34">
        <v>29.012141</v>
      </c>
      <c r="Y38" s="34">
        <v>-81.084574000000003</v>
      </c>
      <c r="Z38" s="34">
        <v>2003</v>
      </c>
      <c r="AA38" s="24"/>
    </row>
    <row r="39" spans="1:27" s="15" customFormat="1" ht="38.25" x14ac:dyDescent="0.2">
      <c r="A39" s="64">
        <v>2189</v>
      </c>
      <c r="B39" s="3" t="s">
        <v>290</v>
      </c>
      <c r="C39" s="91" t="s">
        <v>145</v>
      </c>
      <c r="D39" s="3" t="s">
        <v>13</v>
      </c>
      <c r="E39" s="65" t="s">
        <v>235</v>
      </c>
      <c r="F39" s="34" t="s">
        <v>236</v>
      </c>
      <c r="G39" s="3" t="s">
        <v>175</v>
      </c>
      <c r="H39" s="25" t="s">
        <v>5</v>
      </c>
      <c r="I39" s="105">
        <v>2008</v>
      </c>
      <c r="J39" s="26">
        <v>8.1999999999999993</v>
      </c>
      <c r="K39" s="23">
        <v>1.6</v>
      </c>
      <c r="L39" s="23" t="s">
        <v>145</v>
      </c>
      <c r="M39" s="23">
        <v>8.4</v>
      </c>
      <c r="N39" s="30" t="s">
        <v>276</v>
      </c>
      <c r="O39" s="30" t="s">
        <v>276</v>
      </c>
      <c r="P39" s="1" t="s">
        <v>291</v>
      </c>
      <c r="Q39" s="1" t="s">
        <v>276</v>
      </c>
      <c r="R39" s="1" t="s">
        <v>145</v>
      </c>
      <c r="S39" s="1" t="s">
        <v>7</v>
      </c>
      <c r="T39" s="3" t="s">
        <v>5</v>
      </c>
      <c r="U39" s="1">
        <v>2012</v>
      </c>
      <c r="V39" s="34" t="s">
        <v>214</v>
      </c>
      <c r="W39" s="1" t="s">
        <v>86</v>
      </c>
      <c r="X39" s="34">
        <v>28.992464999999999</v>
      </c>
      <c r="Y39" s="34">
        <v>-81.245239999999995</v>
      </c>
      <c r="Z39" s="34">
        <v>2010</v>
      </c>
      <c r="AA39" s="24"/>
    </row>
    <row r="40" spans="1:27" s="15" customFormat="1" ht="38.25" x14ac:dyDescent="0.2">
      <c r="A40" s="64">
        <v>2155</v>
      </c>
      <c r="B40" s="3" t="s">
        <v>290</v>
      </c>
      <c r="C40" s="91" t="s">
        <v>145</v>
      </c>
      <c r="D40" s="3" t="s">
        <v>14</v>
      </c>
      <c r="E40" s="65" t="s">
        <v>237</v>
      </c>
      <c r="F40" s="34" t="s">
        <v>234</v>
      </c>
      <c r="G40" s="3" t="s">
        <v>175</v>
      </c>
      <c r="H40" s="25" t="s">
        <v>5</v>
      </c>
      <c r="I40" s="105">
        <v>2008</v>
      </c>
      <c r="J40" s="26">
        <v>27.2</v>
      </c>
      <c r="K40" s="23">
        <v>6.2</v>
      </c>
      <c r="L40" s="23" t="s">
        <v>145</v>
      </c>
      <c r="M40" s="23">
        <v>22.6</v>
      </c>
      <c r="N40" s="30" t="s">
        <v>276</v>
      </c>
      <c r="O40" s="30" t="s">
        <v>276</v>
      </c>
      <c r="P40" s="1" t="s">
        <v>291</v>
      </c>
      <c r="Q40" s="1" t="s">
        <v>276</v>
      </c>
      <c r="R40" s="1" t="s">
        <v>145</v>
      </c>
      <c r="S40" s="1" t="s">
        <v>7</v>
      </c>
      <c r="T40" s="3" t="s">
        <v>5</v>
      </c>
      <c r="U40" s="1">
        <v>2012</v>
      </c>
      <c r="V40" s="34" t="s">
        <v>214</v>
      </c>
      <c r="W40" s="1" t="s">
        <v>86</v>
      </c>
      <c r="X40" s="34">
        <v>28.999310000000001</v>
      </c>
      <c r="Y40" s="34">
        <v>-81.24221</v>
      </c>
      <c r="Z40" s="34">
        <v>2008</v>
      </c>
      <c r="AA40" s="24"/>
    </row>
    <row r="41" spans="1:27" s="15" customFormat="1" ht="38.25" x14ac:dyDescent="0.2">
      <c r="A41" s="64">
        <v>2180</v>
      </c>
      <c r="B41" s="3" t="s">
        <v>290</v>
      </c>
      <c r="C41" s="91" t="s">
        <v>145</v>
      </c>
      <c r="D41" s="3" t="s">
        <v>15</v>
      </c>
      <c r="E41" s="65" t="s">
        <v>238</v>
      </c>
      <c r="F41" s="34" t="s">
        <v>234</v>
      </c>
      <c r="G41" s="3" t="s">
        <v>175</v>
      </c>
      <c r="H41" s="25" t="s">
        <v>5</v>
      </c>
      <c r="I41" s="105">
        <v>2008</v>
      </c>
      <c r="J41" s="26">
        <v>13.6</v>
      </c>
      <c r="K41" s="23">
        <v>2.8</v>
      </c>
      <c r="L41" s="23" t="s">
        <v>145</v>
      </c>
      <c r="M41" s="23">
        <v>10.7</v>
      </c>
      <c r="N41" s="30" t="s">
        <v>276</v>
      </c>
      <c r="O41" s="30" t="s">
        <v>276</v>
      </c>
      <c r="P41" s="1" t="s">
        <v>291</v>
      </c>
      <c r="Q41" s="1" t="s">
        <v>276</v>
      </c>
      <c r="R41" s="1" t="s">
        <v>145</v>
      </c>
      <c r="S41" s="1" t="s">
        <v>7</v>
      </c>
      <c r="T41" s="3" t="s">
        <v>5</v>
      </c>
      <c r="U41" s="1">
        <v>2012</v>
      </c>
      <c r="V41" s="34" t="s">
        <v>214</v>
      </c>
      <c r="W41" s="1" t="s">
        <v>86</v>
      </c>
      <c r="X41" s="34">
        <v>29.002027999999999</v>
      </c>
      <c r="Y41" s="34">
        <v>-81.24248</v>
      </c>
      <c r="Z41" s="34">
        <v>2010</v>
      </c>
      <c r="AA41" s="24"/>
    </row>
    <row r="42" spans="1:27" s="15" customFormat="1" ht="38.25" x14ac:dyDescent="0.2">
      <c r="A42" s="64">
        <v>2178</v>
      </c>
      <c r="B42" s="3" t="s">
        <v>290</v>
      </c>
      <c r="C42" s="91" t="s">
        <v>145</v>
      </c>
      <c r="D42" s="3" t="s">
        <v>16</v>
      </c>
      <c r="E42" s="65" t="s">
        <v>239</v>
      </c>
      <c r="F42" s="34" t="s">
        <v>234</v>
      </c>
      <c r="G42" s="3" t="s">
        <v>175</v>
      </c>
      <c r="H42" s="25" t="s">
        <v>5</v>
      </c>
      <c r="I42" s="105">
        <v>2008</v>
      </c>
      <c r="J42" s="26">
        <v>38.299999999999997</v>
      </c>
      <c r="K42" s="23">
        <v>7.7</v>
      </c>
      <c r="L42" s="23" t="s">
        <v>145</v>
      </c>
      <c r="M42" s="23">
        <v>30</v>
      </c>
      <c r="N42" s="30" t="s">
        <v>276</v>
      </c>
      <c r="O42" s="30" t="s">
        <v>276</v>
      </c>
      <c r="P42" s="1" t="s">
        <v>291</v>
      </c>
      <c r="Q42" s="1" t="s">
        <v>276</v>
      </c>
      <c r="R42" s="1" t="s">
        <v>145</v>
      </c>
      <c r="S42" s="1" t="s">
        <v>7</v>
      </c>
      <c r="T42" s="3" t="s">
        <v>5</v>
      </c>
      <c r="U42" s="1">
        <v>2012</v>
      </c>
      <c r="V42" s="34" t="s">
        <v>214</v>
      </c>
      <c r="W42" s="1" t="s">
        <v>86</v>
      </c>
      <c r="X42" s="34">
        <v>29.010210000000001</v>
      </c>
      <c r="Y42" s="34">
        <v>-81.237979999999993</v>
      </c>
      <c r="Z42" s="34">
        <v>2010</v>
      </c>
      <c r="AA42" s="24"/>
    </row>
    <row r="43" spans="1:27" s="15" customFormat="1" ht="38.25" x14ac:dyDescent="0.2">
      <c r="A43" s="64">
        <v>2144</v>
      </c>
      <c r="B43" s="3" t="s">
        <v>290</v>
      </c>
      <c r="C43" s="91" t="s">
        <v>145</v>
      </c>
      <c r="D43" s="3" t="s">
        <v>17</v>
      </c>
      <c r="E43" s="65" t="s">
        <v>288</v>
      </c>
      <c r="F43" s="34" t="s">
        <v>437</v>
      </c>
      <c r="G43" s="34" t="s">
        <v>175</v>
      </c>
      <c r="H43" s="25" t="s">
        <v>5</v>
      </c>
      <c r="I43" s="105">
        <v>2012</v>
      </c>
      <c r="J43" s="26">
        <v>54.4</v>
      </c>
      <c r="K43" s="23">
        <v>11</v>
      </c>
      <c r="L43" s="23" t="s">
        <v>145</v>
      </c>
      <c r="M43" s="23">
        <v>35.6</v>
      </c>
      <c r="N43" s="30" t="s">
        <v>276</v>
      </c>
      <c r="O43" s="30" t="s">
        <v>276</v>
      </c>
      <c r="P43" s="1" t="s">
        <v>291</v>
      </c>
      <c r="Q43" s="1" t="s">
        <v>276</v>
      </c>
      <c r="R43" s="1" t="s">
        <v>145</v>
      </c>
      <c r="S43" s="1" t="s">
        <v>7</v>
      </c>
      <c r="T43" s="3" t="s">
        <v>5</v>
      </c>
      <c r="U43" s="1">
        <v>2012</v>
      </c>
      <c r="V43" s="34" t="s">
        <v>214</v>
      </c>
      <c r="W43" s="1" t="s">
        <v>86</v>
      </c>
      <c r="X43" s="34">
        <v>28.967974000000002</v>
      </c>
      <c r="Y43" s="34">
        <v>-81.252251999999999</v>
      </c>
      <c r="Z43" s="34">
        <v>2010</v>
      </c>
      <c r="AA43" s="24"/>
    </row>
    <row r="44" spans="1:27" s="15" customFormat="1" ht="38.25" x14ac:dyDescent="0.2">
      <c r="A44" s="64">
        <v>2145</v>
      </c>
      <c r="B44" s="3" t="s">
        <v>290</v>
      </c>
      <c r="C44" s="91" t="s">
        <v>145</v>
      </c>
      <c r="D44" s="3" t="s">
        <v>390</v>
      </c>
      <c r="E44" s="65" t="s">
        <v>391</v>
      </c>
      <c r="F44" s="34" t="s">
        <v>392</v>
      </c>
      <c r="G44" s="34" t="s">
        <v>175</v>
      </c>
      <c r="H44" s="25" t="s">
        <v>5</v>
      </c>
      <c r="I44" s="105">
        <v>2012</v>
      </c>
      <c r="J44" s="26" t="s">
        <v>145</v>
      </c>
      <c r="K44" s="23" t="s">
        <v>145</v>
      </c>
      <c r="L44" s="23" t="s">
        <v>145</v>
      </c>
      <c r="M44" s="23" t="s">
        <v>145</v>
      </c>
      <c r="N44" s="30" t="s">
        <v>145</v>
      </c>
      <c r="O44" s="30" t="s">
        <v>145</v>
      </c>
      <c r="P44" s="1" t="s">
        <v>145</v>
      </c>
      <c r="Q44" s="1" t="s">
        <v>145</v>
      </c>
      <c r="R44" s="1" t="s">
        <v>145</v>
      </c>
      <c r="S44" s="1" t="s">
        <v>7</v>
      </c>
      <c r="T44" s="3" t="s">
        <v>5</v>
      </c>
      <c r="U44" s="1">
        <v>2012</v>
      </c>
      <c r="V44" s="34" t="s">
        <v>214</v>
      </c>
      <c r="W44" s="1" t="s">
        <v>86</v>
      </c>
      <c r="X44" s="34" t="s">
        <v>145</v>
      </c>
      <c r="Y44" s="34" t="s">
        <v>145</v>
      </c>
      <c r="Z44" s="34">
        <v>2010</v>
      </c>
      <c r="AA44" s="24"/>
    </row>
    <row r="45" spans="1:27" s="15" customFormat="1" ht="38.25" x14ac:dyDescent="0.2">
      <c r="A45" s="64">
        <v>2146</v>
      </c>
      <c r="B45" s="3" t="s">
        <v>290</v>
      </c>
      <c r="C45" s="91" t="s">
        <v>145</v>
      </c>
      <c r="D45" s="3" t="s">
        <v>18</v>
      </c>
      <c r="E45" s="65" t="s">
        <v>289</v>
      </c>
      <c r="F45" s="34" t="s">
        <v>438</v>
      </c>
      <c r="G45" s="34" t="s">
        <v>175</v>
      </c>
      <c r="H45" s="25" t="s">
        <v>5</v>
      </c>
      <c r="I45" s="105">
        <v>2012</v>
      </c>
      <c r="J45" s="26">
        <v>65.3</v>
      </c>
      <c r="K45" s="23">
        <v>13.3</v>
      </c>
      <c r="L45" s="23" t="s">
        <v>145</v>
      </c>
      <c r="M45" s="23">
        <v>38.700000000000003</v>
      </c>
      <c r="N45" s="30" t="s">
        <v>276</v>
      </c>
      <c r="O45" s="30" t="s">
        <v>276</v>
      </c>
      <c r="P45" s="1" t="s">
        <v>291</v>
      </c>
      <c r="Q45" s="1" t="s">
        <v>276</v>
      </c>
      <c r="R45" s="1" t="s">
        <v>145</v>
      </c>
      <c r="S45" s="1" t="s">
        <v>7</v>
      </c>
      <c r="T45" s="3" t="s">
        <v>5</v>
      </c>
      <c r="U45" s="1">
        <v>2012</v>
      </c>
      <c r="V45" s="34" t="s">
        <v>214</v>
      </c>
      <c r="W45" s="1" t="s">
        <v>86</v>
      </c>
      <c r="X45" s="34">
        <v>29.018519000000001</v>
      </c>
      <c r="Y45" s="34">
        <v>-81.229226999999995</v>
      </c>
      <c r="Z45" s="34">
        <v>2010</v>
      </c>
      <c r="AA45" s="24"/>
    </row>
    <row r="46" spans="1:27" s="15" customFormat="1" ht="38.25" x14ac:dyDescent="0.2">
      <c r="A46" s="64">
        <v>2147</v>
      </c>
      <c r="B46" s="3" t="s">
        <v>290</v>
      </c>
      <c r="C46" s="91" t="s">
        <v>145</v>
      </c>
      <c r="D46" s="3" t="s">
        <v>393</v>
      </c>
      <c r="E46" s="65" t="s">
        <v>394</v>
      </c>
      <c r="F46" s="34" t="s">
        <v>395</v>
      </c>
      <c r="G46" s="34" t="s">
        <v>338</v>
      </c>
      <c r="H46" s="25" t="s">
        <v>5</v>
      </c>
      <c r="I46" s="105">
        <v>2012</v>
      </c>
      <c r="J46" s="26" t="s">
        <v>145</v>
      </c>
      <c r="K46" s="23" t="s">
        <v>145</v>
      </c>
      <c r="L46" s="23" t="s">
        <v>145</v>
      </c>
      <c r="M46" s="23" t="s">
        <v>145</v>
      </c>
      <c r="N46" s="30" t="s">
        <v>145</v>
      </c>
      <c r="O46" s="30" t="s">
        <v>145</v>
      </c>
      <c r="P46" s="1" t="s">
        <v>145</v>
      </c>
      <c r="Q46" s="1" t="s">
        <v>145</v>
      </c>
      <c r="R46" s="1" t="s">
        <v>145</v>
      </c>
      <c r="S46" s="1" t="s">
        <v>7</v>
      </c>
      <c r="T46" s="3" t="s">
        <v>5</v>
      </c>
      <c r="U46" s="1">
        <v>2012</v>
      </c>
      <c r="V46" s="34" t="s">
        <v>214</v>
      </c>
      <c r="W46" s="1" t="s">
        <v>86</v>
      </c>
      <c r="X46" s="34" t="s">
        <v>145</v>
      </c>
      <c r="Y46" s="34" t="s">
        <v>145</v>
      </c>
      <c r="Z46" s="34">
        <v>2010</v>
      </c>
      <c r="AA46" s="24"/>
    </row>
    <row r="47" spans="1:27" s="15" customFormat="1" ht="38.25" x14ac:dyDescent="0.2">
      <c r="A47" s="64">
        <v>2148</v>
      </c>
      <c r="B47" s="3" t="s">
        <v>290</v>
      </c>
      <c r="C47" s="91" t="s">
        <v>145</v>
      </c>
      <c r="D47" s="3" t="s">
        <v>19</v>
      </c>
      <c r="E47" s="65" t="s">
        <v>138</v>
      </c>
      <c r="F47" s="34" t="s">
        <v>234</v>
      </c>
      <c r="G47" s="3" t="s">
        <v>175</v>
      </c>
      <c r="H47" s="25" t="s">
        <v>5</v>
      </c>
      <c r="I47" s="105">
        <v>2012</v>
      </c>
      <c r="J47" s="26">
        <v>43.8</v>
      </c>
      <c r="K47" s="23">
        <v>8</v>
      </c>
      <c r="L47" s="23" t="s">
        <v>145</v>
      </c>
      <c r="M47" s="23">
        <v>24.5</v>
      </c>
      <c r="N47" s="30" t="s">
        <v>276</v>
      </c>
      <c r="O47" s="30" t="s">
        <v>276</v>
      </c>
      <c r="P47" s="1" t="s">
        <v>291</v>
      </c>
      <c r="Q47" s="1" t="s">
        <v>276</v>
      </c>
      <c r="R47" s="1" t="s">
        <v>145</v>
      </c>
      <c r="S47" s="1" t="s">
        <v>7</v>
      </c>
      <c r="T47" s="3" t="s">
        <v>5</v>
      </c>
      <c r="U47" s="1">
        <v>2012</v>
      </c>
      <c r="V47" s="34" t="s">
        <v>214</v>
      </c>
      <c r="W47" s="1" t="s">
        <v>86</v>
      </c>
      <c r="X47" s="34">
        <v>28.911853000000001</v>
      </c>
      <c r="Y47" s="34">
        <v>-81.270221000000006</v>
      </c>
      <c r="Z47" s="34">
        <v>2010</v>
      </c>
      <c r="AA47" s="24"/>
    </row>
    <row r="48" spans="1:27" s="15" customFormat="1" ht="38.25" x14ac:dyDescent="0.2">
      <c r="A48" s="64">
        <v>2149</v>
      </c>
      <c r="B48" s="3" t="s">
        <v>290</v>
      </c>
      <c r="C48" s="91" t="s">
        <v>145</v>
      </c>
      <c r="D48" s="3" t="s">
        <v>20</v>
      </c>
      <c r="E48" s="34" t="s">
        <v>139</v>
      </c>
      <c r="F48" s="34" t="s">
        <v>240</v>
      </c>
      <c r="G48" s="3" t="s">
        <v>176</v>
      </c>
      <c r="H48" s="25" t="s">
        <v>5</v>
      </c>
      <c r="I48" s="105">
        <v>2012</v>
      </c>
      <c r="J48" s="26">
        <v>90.1</v>
      </c>
      <c r="K48" s="23">
        <v>28.3</v>
      </c>
      <c r="L48" s="23" t="s">
        <v>145</v>
      </c>
      <c r="M48" s="23">
        <v>133.9</v>
      </c>
      <c r="N48" s="30" t="s">
        <v>276</v>
      </c>
      <c r="O48" s="30" t="s">
        <v>276</v>
      </c>
      <c r="P48" s="1" t="s">
        <v>291</v>
      </c>
      <c r="Q48" s="1" t="s">
        <v>276</v>
      </c>
      <c r="R48" s="1" t="s">
        <v>145</v>
      </c>
      <c r="S48" s="1" t="s">
        <v>7</v>
      </c>
      <c r="T48" s="3" t="s">
        <v>5</v>
      </c>
      <c r="U48" s="1">
        <v>2012</v>
      </c>
      <c r="V48" s="34" t="s">
        <v>214</v>
      </c>
      <c r="W48" s="1" t="s">
        <v>86</v>
      </c>
      <c r="X48" s="34">
        <v>28.819697000000001</v>
      </c>
      <c r="Y48" s="34">
        <v>-81.185788000000002</v>
      </c>
      <c r="Z48" s="34" t="s">
        <v>276</v>
      </c>
      <c r="AA48" s="24"/>
    </row>
    <row r="49" spans="1:27" s="15" customFormat="1" ht="38.25" x14ac:dyDescent="0.2">
      <c r="A49" s="64">
        <v>2150</v>
      </c>
      <c r="B49" s="3" t="s">
        <v>290</v>
      </c>
      <c r="C49" s="91" t="s">
        <v>145</v>
      </c>
      <c r="D49" s="3" t="s">
        <v>21</v>
      </c>
      <c r="E49" s="34" t="s">
        <v>140</v>
      </c>
      <c r="F49" s="34" t="s">
        <v>240</v>
      </c>
      <c r="G49" s="3" t="s">
        <v>176</v>
      </c>
      <c r="H49" s="25" t="s">
        <v>5</v>
      </c>
      <c r="I49" s="105">
        <v>2012</v>
      </c>
      <c r="J49" s="26">
        <v>34.1</v>
      </c>
      <c r="K49" s="23">
        <v>10.5</v>
      </c>
      <c r="L49" s="23" t="s">
        <v>145</v>
      </c>
      <c r="M49" s="23">
        <v>43.5</v>
      </c>
      <c r="N49" s="30" t="s">
        <v>276</v>
      </c>
      <c r="O49" s="30" t="s">
        <v>276</v>
      </c>
      <c r="P49" s="1" t="s">
        <v>291</v>
      </c>
      <c r="Q49" s="1" t="s">
        <v>276</v>
      </c>
      <c r="R49" s="1" t="s">
        <v>145</v>
      </c>
      <c r="S49" s="1" t="s">
        <v>7</v>
      </c>
      <c r="T49" s="3" t="s">
        <v>5</v>
      </c>
      <c r="U49" s="1">
        <v>2012</v>
      </c>
      <c r="V49" s="34" t="s">
        <v>214</v>
      </c>
      <c r="W49" s="1" t="s">
        <v>86</v>
      </c>
      <c r="X49" s="34">
        <v>29.015217</v>
      </c>
      <c r="Y49" s="34">
        <v>-81.240596999999994</v>
      </c>
      <c r="Z49" s="34" t="s">
        <v>276</v>
      </c>
      <c r="AA49" s="24"/>
    </row>
    <row r="50" spans="1:27" s="15" customFormat="1" ht="38.25" x14ac:dyDescent="0.2">
      <c r="A50" s="64">
        <v>2151</v>
      </c>
      <c r="B50" s="3" t="s">
        <v>290</v>
      </c>
      <c r="C50" s="91" t="s">
        <v>145</v>
      </c>
      <c r="D50" s="3" t="s">
        <v>22</v>
      </c>
      <c r="E50" s="34" t="s">
        <v>141</v>
      </c>
      <c r="F50" s="34" t="s">
        <v>240</v>
      </c>
      <c r="G50" s="3" t="s">
        <v>176</v>
      </c>
      <c r="H50" s="25" t="s">
        <v>5</v>
      </c>
      <c r="I50" s="105">
        <v>2012</v>
      </c>
      <c r="J50" s="26">
        <v>32.799999999999997</v>
      </c>
      <c r="K50" s="23">
        <v>7.4</v>
      </c>
      <c r="L50" s="23" t="s">
        <v>145</v>
      </c>
      <c r="M50" s="23">
        <v>48.2</v>
      </c>
      <c r="N50" s="30" t="s">
        <v>276</v>
      </c>
      <c r="O50" s="30" t="s">
        <v>276</v>
      </c>
      <c r="P50" s="1" t="s">
        <v>291</v>
      </c>
      <c r="Q50" s="1" t="s">
        <v>276</v>
      </c>
      <c r="R50" s="1" t="s">
        <v>145</v>
      </c>
      <c r="S50" s="1" t="s">
        <v>7</v>
      </c>
      <c r="T50" s="3" t="s">
        <v>5</v>
      </c>
      <c r="U50" s="1">
        <v>2012</v>
      </c>
      <c r="V50" s="34" t="s">
        <v>214</v>
      </c>
      <c r="W50" s="1" t="s">
        <v>86</v>
      </c>
      <c r="X50" s="34">
        <v>28.811384</v>
      </c>
      <c r="Y50" s="34">
        <v>-81.358754000000005</v>
      </c>
      <c r="Z50" s="34" t="s">
        <v>276</v>
      </c>
      <c r="AA50" s="24"/>
    </row>
    <row r="51" spans="1:27" s="15" customFormat="1" ht="38.25" x14ac:dyDescent="0.2">
      <c r="A51" s="64">
        <v>2152</v>
      </c>
      <c r="B51" s="3" t="s">
        <v>290</v>
      </c>
      <c r="C51" s="91" t="s">
        <v>145</v>
      </c>
      <c r="D51" s="3" t="s">
        <v>24</v>
      </c>
      <c r="E51" s="65" t="s">
        <v>142</v>
      </c>
      <c r="F51" s="34" t="s">
        <v>241</v>
      </c>
      <c r="G51" s="3" t="s">
        <v>168</v>
      </c>
      <c r="H51" s="3" t="s">
        <v>5</v>
      </c>
      <c r="I51" s="106">
        <v>2004</v>
      </c>
      <c r="J51" s="23">
        <v>94.2</v>
      </c>
      <c r="K51" s="23">
        <v>13.4</v>
      </c>
      <c r="L51" s="23" t="s">
        <v>145</v>
      </c>
      <c r="M51" s="23">
        <v>25.5</v>
      </c>
      <c r="N51" s="30" t="s">
        <v>276</v>
      </c>
      <c r="O51" s="30" t="s">
        <v>276</v>
      </c>
      <c r="P51" s="1" t="s">
        <v>291</v>
      </c>
      <c r="Q51" s="1" t="s">
        <v>276</v>
      </c>
      <c r="R51" s="1" t="s">
        <v>145</v>
      </c>
      <c r="S51" s="1" t="s">
        <v>7</v>
      </c>
      <c r="T51" s="3" t="s">
        <v>5</v>
      </c>
      <c r="U51" s="1">
        <v>2012</v>
      </c>
      <c r="V51" s="34" t="s">
        <v>214</v>
      </c>
      <c r="W51" s="1" t="s">
        <v>86</v>
      </c>
      <c r="X51" s="34">
        <v>28.758368000000001</v>
      </c>
      <c r="Y51" s="34">
        <v>-81.363287</v>
      </c>
      <c r="Z51" s="34">
        <v>2004</v>
      </c>
      <c r="AA51" s="24"/>
    </row>
    <row r="52" spans="1:27" s="15" customFormat="1" ht="38.25" x14ac:dyDescent="0.2">
      <c r="A52" s="64">
        <v>2166</v>
      </c>
      <c r="B52" s="3" t="s">
        <v>290</v>
      </c>
      <c r="C52" s="91" t="s">
        <v>145</v>
      </c>
      <c r="D52" s="3" t="s">
        <v>25</v>
      </c>
      <c r="E52" s="65" t="s">
        <v>26</v>
      </c>
      <c r="F52" s="34" t="s">
        <v>234</v>
      </c>
      <c r="G52" s="3" t="s">
        <v>175</v>
      </c>
      <c r="H52" s="3" t="s">
        <v>5</v>
      </c>
      <c r="I52" s="102">
        <v>2004</v>
      </c>
      <c r="J52" s="23">
        <v>102.5</v>
      </c>
      <c r="K52" s="23">
        <v>24.4</v>
      </c>
      <c r="L52" s="23" t="s">
        <v>145</v>
      </c>
      <c r="M52" s="23">
        <v>38.5</v>
      </c>
      <c r="N52" s="30" t="s">
        <v>276</v>
      </c>
      <c r="O52" s="30" t="s">
        <v>276</v>
      </c>
      <c r="P52" s="1" t="s">
        <v>291</v>
      </c>
      <c r="Q52" s="1" t="s">
        <v>276</v>
      </c>
      <c r="R52" s="1" t="s">
        <v>145</v>
      </c>
      <c r="S52" s="1" t="s">
        <v>7</v>
      </c>
      <c r="T52" s="3" t="s">
        <v>5</v>
      </c>
      <c r="U52" s="1">
        <v>2012</v>
      </c>
      <c r="V52" s="34" t="s">
        <v>214</v>
      </c>
      <c r="W52" s="1" t="s">
        <v>86</v>
      </c>
      <c r="X52" s="34">
        <v>28.822102999999998</v>
      </c>
      <c r="Y52" s="34">
        <v>-81.338250000000002</v>
      </c>
      <c r="Z52" s="34">
        <v>2004</v>
      </c>
      <c r="AA52" s="24"/>
    </row>
    <row r="53" spans="1:27" s="15" customFormat="1" ht="38.25" x14ac:dyDescent="0.2">
      <c r="A53" s="64">
        <v>2154</v>
      </c>
      <c r="B53" s="3" t="s">
        <v>290</v>
      </c>
      <c r="C53" s="91" t="s">
        <v>145</v>
      </c>
      <c r="D53" s="3" t="s">
        <v>27</v>
      </c>
      <c r="E53" s="65" t="s">
        <v>28</v>
      </c>
      <c r="F53" s="34" t="s">
        <v>234</v>
      </c>
      <c r="G53" s="3" t="s">
        <v>175</v>
      </c>
      <c r="H53" s="3" t="s">
        <v>5</v>
      </c>
      <c r="I53" s="102">
        <v>2004</v>
      </c>
      <c r="J53" s="23">
        <v>44.9</v>
      </c>
      <c r="K53" s="23">
        <v>12.4</v>
      </c>
      <c r="L53" s="23" t="s">
        <v>145</v>
      </c>
      <c r="M53" s="23">
        <v>32.4</v>
      </c>
      <c r="N53" s="30" t="s">
        <v>276</v>
      </c>
      <c r="O53" s="30" t="s">
        <v>276</v>
      </c>
      <c r="P53" s="1" t="s">
        <v>291</v>
      </c>
      <c r="Q53" s="1" t="s">
        <v>276</v>
      </c>
      <c r="R53" s="1" t="s">
        <v>145</v>
      </c>
      <c r="S53" s="1" t="s">
        <v>7</v>
      </c>
      <c r="T53" s="3" t="s">
        <v>5</v>
      </c>
      <c r="U53" s="1">
        <v>2012</v>
      </c>
      <c r="V53" s="34" t="s">
        <v>214</v>
      </c>
      <c r="W53" s="1" t="s">
        <v>86</v>
      </c>
      <c r="X53" s="34">
        <v>28.817031</v>
      </c>
      <c r="Y53" s="34">
        <v>-81.333803000000003</v>
      </c>
      <c r="Z53" s="34">
        <v>2004</v>
      </c>
      <c r="AA53" s="24"/>
    </row>
    <row r="54" spans="1:27" s="15" customFormat="1" ht="38.25" x14ac:dyDescent="0.2">
      <c r="A54" s="64">
        <v>2143</v>
      </c>
      <c r="B54" s="3" t="s">
        <v>290</v>
      </c>
      <c r="C54" s="91" t="s">
        <v>145</v>
      </c>
      <c r="D54" s="3" t="s">
        <v>29</v>
      </c>
      <c r="E54" s="65" t="s">
        <v>143</v>
      </c>
      <c r="F54" s="34" t="s">
        <v>234</v>
      </c>
      <c r="G54" s="3" t="s">
        <v>175</v>
      </c>
      <c r="H54" s="3" t="s">
        <v>5</v>
      </c>
      <c r="I54" s="102">
        <v>2004</v>
      </c>
      <c r="J54" s="23">
        <v>47.4</v>
      </c>
      <c r="K54" s="23">
        <v>8.6</v>
      </c>
      <c r="L54" s="23" t="s">
        <v>145</v>
      </c>
      <c r="M54" s="23">
        <v>30.5</v>
      </c>
      <c r="N54" s="30" t="s">
        <v>276</v>
      </c>
      <c r="O54" s="30" t="s">
        <v>276</v>
      </c>
      <c r="P54" s="1" t="s">
        <v>291</v>
      </c>
      <c r="Q54" s="1" t="s">
        <v>276</v>
      </c>
      <c r="R54" s="1" t="s">
        <v>145</v>
      </c>
      <c r="S54" s="1" t="s">
        <v>7</v>
      </c>
      <c r="T54" s="3" t="s">
        <v>5</v>
      </c>
      <c r="U54" s="1">
        <v>2012</v>
      </c>
      <c r="V54" s="34" t="s">
        <v>214</v>
      </c>
      <c r="W54" s="1" t="s">
        <v>86</v>
      </c>
      <c r="X54" s="34">
        <v>28.823732</v>
      </c>
      <c r="Y54" s="34">
        <v>-81.328095000000005</v>
      </c>
      <c r="Z54" s="34">
        <v>2004</v>
      </c>
      <c r="AA54" s="24"/>
    </row>
    <row r="55" spans="1:27" s="15" customFormat="1" ht="38.25" x14ac:dyDescent="0.2">
      <c r="A55" s="64">
        <v>2215</v>
      </c>
      <c r="B55" s="3" t="s">
        <v>290</v>
      </c>
      <c r="C55" s="91" t="s">
        <v>145</v>
      </c>
      <c r="D55" s="3" t="s">
        <v>30</v>
      </c>
      <c r="E55" s="65" t="s">
        <v>205</v>
      </c>
      <c r="F55" s="34" t="s">
        <v>234</v>
      </c>
      <c r="G55" s="37" t="s">
        <v>176</v>
      </c>
      <c r="H55" s="3" t="s">
        <v>5</v>
      </c>
      <c r="I55" s="102">
        <v>2012</v>
      </c>
      <c r="J55" s="23">
        <v>147.5</v>
      </c>
      <c r="K55" s="23">
        <v>19.8</v>
      </c>
      <c r="L55" s="23" t="s">
        <v>145</v>
      </c>
      <c r="M55" s="23">
        <v>56.5</v>
      </c>
      <c r="N55" s="30" t="s">
        <v>276</v>
      </c>
      <c r="O55" s="30" t="s">
        <v>276</v>
      </c>
      <c r="P55" s="1" t="s">
        <v>291</v>
      </c>
      <c r="Q55" s="1" t="s">
        <v>276</v>
      </c>
      <c r="R55" s="1" t="s">
        <v>145</v>
      </c>
      <c r="S55" s="1" t="s">
        <v>7</v>
      </c>
      <c r="T55" s="3" t="s">
        <v>5</v>
      </c>
      <c r="U55" s="1">
        <v>2012</v>
      </c>
      <c r="V55" s="34" t="s">
        <v>214</v>
      </c>
      <c r="W55" s="1" t="s">
        <v>86</v>
      </c>
      <c r="X55" s="34">
        <v>28.831892</v>
      </c>
      <c r="Y55" s="34">
        <v>-81.322642999999999</v>
      </c>
      <c r="Z55" s="34">
        <v>2000</v>
      </c>
      <c r="AA55" s="24"/>
    </row>
    <row r="56" spans="1:27" s="15" customFormat="1" ht="38.25" x14ac:dyDescent="0.2">
      <c r="A56" s="64">
        <v>2156</v>
      </c>
      <c r="B56" s="3" t="s">
        <v>290</v>
      </c>
      <c r="C56" s="91" t="s">
        <v>145</v>
      </c>
      <c r="D56" s="3" t="s">
        <v>31</v>
      </c>
      <c r="E56" s="65" t="s">
        <v>144</v>
      </c>
      <c r="F56" s="34" t="s">
        <v>234</v>
      </c>
      <c r="G56" s="3" t="s">
        <v>175</v>
      </c>
      <c r="H56" s="3" t="s">
        <v>5</v>
      </c>
      <c r="I56" s="102">
        <v>2006</v>
      </c>
      <c r="J56" s="23">
        <v>7.4</v>
      </c>
      <c r="K56" s="23">
        <v>0.7</v>
      </c>
      <c r="L56" s="23" t="s">
        <v>145</v>
      </c>
      <c r="M56" s="23">
        <v>20.3</v>
      </c>
      <c r="N56" s="30" t="s">
        <v>276</v>
      </c>
      <c r="O56" s="30" t="s">
        <v>276</v>
      </c>
      <c r="P56" s="1" t="s">
        <v>291</v>
      </c>
      <c r="Q56" s="1" t="s">
        <v>276</v>
      </c>
      <c r="R56" s="1" t="s">
        <v>145</v>
      </c>
      <c r="S56" s="1" t="s">
        <v>7</v>
      </c>
      <c r="T56" s="3" t="s">
        <v>5</v>
      </c>
      <c r="U56" s="1">
        <v>2012</v>
      </c>
      <c r="V56" s="34" t="s">
        <v>214</v>
      </c>
      <c r="W56" s="1" t="s">
        <v>86</v>
      </c>
      <c r="X56" s="34">
        <v>28.783110000000001</v>
      </c>
      <c r="Y56" s="34">
        <v>-81.353210000000004</v>
      </c>
      <c r="Z56" s="34">
        <v>2010</v>
      </c>
      <c r="AA56" s="24"/>
    </row>
    <row r="57" spans="1:27" s="15" customFormat="1" ht="38.25" x14ac:dyDescent="0.2">
      <c r="A57" s="64">
        <v>2190</v>
      </c>
      <c r="B57" s="3" t="s">
        <v>290</v>
      </c>
      <c r="C57" s="91" t="s">
        <v>145</v>
      </c>
      <c r="D57" s="3" t="s">
        <v>32</v>
      </c>
      <c r="E57" s="34" t="s">
        <v>206</v>
      </c>
      <c r="F57" s="34" t="s">
        <v>234</v>
      </c>
      <c r="G57" s="3" t="s">
        <v>175</v>
      </c>
      <c r="H57" s="3" t="s">
        <v>5</v>
      </c>
      <c r="I57" s="102">
        <v>2004</v>
      </c>
      <c r="J57" s="23">
        <v>56.4</v>
      </c>
      <c r="K57" s="23">
        <v>11.7</v>
      </c>
      <c r="L57" s="23" t="s">
        <v>145</v>
      </c>
      <c r="M57" s="23">
        <v>47.6</v>
      </c>
      <c r="N57" s="30" t="s">
        <v>276</v>
      </c>
      <c r="O57" s="30" t="s">
        <v>276</v>
      </c>
      <c r="P57" s="1" t="s">
        <v>291</v>
      </c>
      <c r="Q57" s="1" t="s">
        <v>276</v>
      </c>
      <c r="R57" s="1" t="s">
        <v>145</v>
      </c>
      <c r="S57" s="1" t="s">
        <v>7</v>
      </c>
      <c r="T57" s="3" t="s">
        <v>5</v>
      </c>
      <c r="U57" s="1">
        <v>2012</v>
      </c>
      <c r="V57" s="34" t="s">
        <v>214</v>
      </c>
      <c r="W57" s="1" t="s">
        <v>86</v>
      </c>
      <c r="X57" s="34">
        <v>28.831789000000001</v>
      </c>
      <c r="Y57" s="34">
        <v>-81.325278999999995</v>
      </c>
      <c r="Z57" s="34">
        <v>2001</v>
      </c>
      <c r="AA57" s="24"/>
    </row>
    <row r="58" spans="1:27" s="15" customFormat="1" ht="38.25" x14ac:dyDescent="0.2">
      <c r="A58" s="64">
        <v>2157</v>
      </c>
      <c r="B58" s="3" t="s">
        <v>290</v>
      </c>
      <c r="C58" s="91" t="s">
        <v>145</v>
      </c>
      <c r="D58" s="3" t="s">
        <v>396</v>
      </c>
      <c r="E58" s="34" t="s">
        <v>206</v>
      </c>
      <c r="F58" s="34" t="s">
        <v>397</v>
      </c>
      <c r="G58" s="3" t="s">
        <v>175</v>
      </c>
      <c r="H58" s="3" t="s">
        <v>5</v>
      </c>
      <c r="I58" s="102">
        <v>2004</v>
      </c>
      <c r="J58" s="26" t="s">
        <v>145</v>
      </c>
      <c r="K58" s="23" t="s">
        <v>145</v>
      </c>
      <c r="L58" s="23" t="s">
        <v>145</v>
      </c>
      <c r="M58" s="23" t="s">
        <v>145</v>
      </c>
      <c r="N58" s="30" t="s">
        <v>145</v>
      </c>
      <c r="O58" s="30" t="s">
        <v>145</v>
      </c>
      <c r="P58" s="1" t="s">
        <v>145</v>
      </c>
      <c r="Q58" s="1" t="s">
        <v>145</v>
      </c>
      <c r="R58" s="1" t="s">
        <v>145</v>
      </c>
      <c r="S58" s="1" t="s">
        <v>7</v>
      </c>
      <c r="T58" s="3" t="s">
        <v>5</v>
      </c>
      <c r="U58" s="1">
        <v>2012</v>
      </c>
      <c r="V58" s="34" t="s">
        <v>214</v>
      </c>
      <c r="W58" s="1" t="s">
        <v>86</v>
      </c>
      <c r="X58" s="34" t="s">
        <v>145</v>
      </c>
      <c r="Y58" s="34" t="s">
        <v>145</v>
      </c>
      <c r="Z58" s="34">
        <v>2001</v>
      </c>
      <c r="AA58" s="24"/>
    </row>
    <row r="59" spans="1:27" s="15" customFormat="1" ht="38.25" x14ac:dyDescent="0.2">
      <c r="A59" s="64">
        <v>2158</v>
      </c>
      <c r="B59" s="3" t="s">
        <v>290</v>
      </c>
      <c r="C59" s="91" t="s">
        <v>145</v>
      </c>
      <c r="D59" s="3" t="s">
        <v>33</v>
      </c>
      <c r="E59" s="34" t="s">
        <v>207</v>
      </c>
      <c r="F59" s="34" t="s">
        <v>234</v>
      </c>
      <c r="G59" s="3" t="s">
        <v>175</v>
      </c>
      <c r="H59" s="3" t="s">
        <v>5</v>
      </c>
      <c r="I59" s="102">
        <v>2004</v>
      </c>
      <c r="J59" s="23">
        <v>68.099999999999994</v>
      </c>
      <c r="K59" s="23">
        <v>16.899999999999999</v>
      </c>
      <c r="L59" s="23" t="s">
        <v>145</v>
      </c>
      <c r="M59" s="23">
        <v>53.1</v>
      </c>
      <c r="N59" s="30" t="s">
        <v>276</v>
      </c>
      <c r="O59" s="30" t="s">
        <v>276</v>
      </c>
      <c r="P59" s="1" t="s">
        <v>291</v>
      </c>
      <c r="Q59" s="1" t="s">
        <v>276</v>
      </c>
      <c r="R59" s="1" t="s">
        <v>145</v>
      </c>
      <c r="S59" s="1" t="s">
        <v>7</v>
      </c>
      <c r="T59" s="3" t="s">
        <v>5</v>
      </c>
      <c r="U59" s="1">
        <v>2012</v>
      </c>
      <c r="V59" s="34" t="s">
        <v>214</v>
      </c>
      <c r="W59" s="1" t="s">
        <v>86</v>
      </c>
      <c r="X59" s="34">
        <v>28.846799000000001</v>
      </c>
      <c r="Y59" s="34">
        <v>-81.312730000000002</v>
      </c>
      <c r="Z59" s="34">
        <v>2001</v>
      </c>
      <c r="AA59" s="24"/>
    </row>
    <row r="60" spans="1:27" s="15" customFormat="1" ht="38.25" x14ac:dyDescent="0.2">
      <c r="A60" s="64">
        <v>2220</v>
      </c>
      <c r="B60" s="3" t="s">
        <v>290</v>
      </c>
      <c r="C60" s="91" t="s">
        <v>145</v>
      </c>
      <c r="D60" s="3" t="s">
        <v>34</v>
      </c>
      <c r="E60" s="34" t="s">
        <v>208</v>
      </c>
      <c r="F60" s="34" t="s">
        <v>234</v>
      </c>
      <c r="G60" s="3" t="s">
        <v>175</v>
      </c>
      <c r="H60" s="3" t="s">
        <v>5</v>
      </c>
      <c r="I60" s="102">
        <v>2006</v>
      </c>
      <c r="J60" s="23">
        <v>91.9</v>
      </c>
      <c r="K60" s="23">
        <v>26.3</v>
      </c>
      <c r="L60" s="23" t="s">
        <v>145</v>
      </c>
      <c r="M60" s="23">
        <v>87.5</v>
      </c>
      <c r="N60" s="30" t="s">
        <v>276</v>
      </c>
      <c r="O60" s="30" t="s">
        <v>276</v>
      </c>
      <c r="P60" s="1" t="s">
        <v>291</v>
      </c>
      <c r="Q60" s="1" t="s">
        <v>276</v>
      </c>
      <c r="R60" s="1" t="s">
        <v>145</v>
      </c>
      <c r="S60" s="1" t="s">
        <v>7</v>
      </c>
      <c r="T60" s="3" t="s">
        <v>5</v>
      </c>
      <c r="U60" s="1">
        <v>2012</v>
      </c>
      <c r="V60" s="34" t="s">
        <v>214</v>
      </c>
      <c r="W60" s="1" t="s">
        <v>86</v>
      </c>
      <c r="X60" s="34">
        <v>28.873902000000001</v>
      </c>
      <c r="Y60" s="34">
        <v>-81.284953000000002</v>
      </c>
      <c r="Z60" s="34">
        <v>2001</v>
      </c>
      <c r="AA60" s="24"/>
    </row>
    <row r="61" spans="1:27" s="15" customFormat="1" ht="38.25" x14ac:dyDescent="0.2">
      <c r="A61" s="64">
        <v>2230</v>
      </c>
      <c r="B61" s="3" t="s">
        <v>290</v>
      </c>
      <c r="C61" s="91" t="s">
        <v>145</v>
      </c>
      <c r="D61" s="3" t="s">
        <v>35</v>
      </c>
      <c r="E61" s="34" t="s">
        <v>209</v>
      </c>
      <c r="F61" s="34" t="s">
        <v>240</v>
      </c>
      <c r="G61" s="3" t="s">
        <v>176</v>
      </c>
      <c r="H61" s="3" t="s">
        <v>5</v>
      </c>
      <c r="I61" s="102">
        <v>2004</v>
      </c>
      <c r="J61" s="23">
        <v>93.8</v>
      </c>
      <c r="K61" s="23">
        <v>13.5</v>
      </c>
      <c r="L61" s="23" t="s">
        <v>145</v>
      </c>
      <c r="M61" s="23">
        <v>35</v>
      </c>
      <c r="N61" s="30" t="s">
        <v>276</v>
      </c>
      <c r="O61" s="30" t="s">
        <v>276</v>
      </c>
      <c r="P61" s="1" t="s">
        <v>291</v>
      </c>
      <c r="Q61" s="1" t="s">
        <v>276</v>
      </c>
      <c r="R61" s="1" t="s">
        <v>145</v>
      </c>
      <c r="S61" s="1" t="s">
        <v>7</v>
      </c>
      <c r="T61" s="3" t="s">
        <v>5</v>
      </c>
      <c r="U61" s="1">
        <v>2012</v>
      </c>
      <c r="V61" s="34" t="s">
        <v>214</v>
      </c>
      <c r="W61" s="1" t="s">
        <v>86</v>
      </c>
      <c r="X61" s="38">
        <v>28.85867</v>
      </c>
      <c r="Y61" s="38">
        <v>-81.296009999999995</v>
      </c>
      <c r="Z61" s="34">
        <v>2001</v>
      </c>
      <c r="AA61" s="24"/>
    </row>
    <row r="62" spans="1:27" s="15" customFormat="1" ht="38.25" x14ac:dyDescent="0.2">
      <c r="A62" s="64">
        <v>2222</v>
      </c>
      <c r="B62" s="3" t="s">
        <v>290</v>
      </c>
      <c r="C62" s="91" t="s">
        <v>145</v>
      </c>
      <c r="D62" s="3" t="s">
        <v>37</v>
      </c>
      <c r="E62" s="34" t="s">
        <v>209</v>
      </c>
      <c r="F62" s="34" t="s">
        <v>240</v>
      </c>
      <c r="G62" s="3" t="s">
        <v>176</v>
      </c>
      <c r="H62" s="3" t="s">
        <v>5</v>
      </c>
      <c r="I62" s="102">
        <v>2006</v>
      </c>
      <c r="J62" s="23">
        <v>39.5</v>
      </c>
      <c r="K62" s="23">
        <v>5.7</v>
      </c>
      <c r="L62" s="23" t="s">
        <v>145</v>
      </c>
      <c r="M62" s="23">
        <v>13.3</v>
      </c>
      <c r="N62" s="30" t="s">
        <v>276</v>
      </c>
      <c r="O62" s="30" t="s">
        <v>276</v>
      </c>
      <c r="P62" s="1" t="s">
        <v>291</v>
      </c>
      <c r="Q62" s="1" t="s">
        <v>276</v>
      </c>
      <c r="R62" s="1" t="s">
        <v>145</v>
      </c>
      <c r="S62" s="1" t="s">
        <v>7</v>
      </c>
      <c r="T62" s="3" t="s">
        <v>5</v>
      </c>
      <c r="U62" s="1">
        <v>2012</v>
      </c>
      <c r="V62" s="34" t="s">
        <v>214</v>
      </c>
      <c r="W62" s="1" t="s">
        <v>86</v>
      </c>
      <c r="X62" s="38">
        <v>28.867899999999999</v>
      </c>
      <c r="Y62" s="38">
        <v>-81.286510000000007</v>
      </c>
      <c r="Z62" s="34">
        <v>2001</v>
      </c>
      <c r="AA62" s="24"/>
    </row>
    <row r="63" spans="1:27" s="15" customFormat="1" ht="38.25" x14ac:dyDescent="0.2">
      <c r="A63" s="64">
        <v>2218</v>
      </c>
      <c r="B63" s="3" t="s">
        <v>290</v>
      </c>
      <c r="C63" s="91" t="s">
        <v>145</v>
      </c>
      <c r="D63" s="3" t="s">
        <v>38</v>
      </c>
      <c r="E63" s="34" t="s">
        <v>139</v>
      </c>
      <c r="F63" s="34" t="s">
        <v>240</v>
      </c>
      <c r="G63" s="3" t="s">
        <v>176</v>
      </c>
      <c r="H63" s="3" t="s">
        <v>5</v>
      </c>
      <c r="I63" s="102">
        <v>2012</v>
      </c>
      <c r="J63" s="23">
        <v>39.1</v>
      </c>
      <c r="K63" s="23">
        <v>8.5</v>
      </c>
      <c r="L63" s="23" t="s">
        <v>145</v>
      </c>
      <c r="M63" s="23">
        <v>65.099999999999994</v>
      </c>
      <c r="N63" s="30" t="s">
        <v>276</v>
      </c>
      <c r="O63" s="30" t="s">
        <v>276</v>
      </c>
      <c r="P63" s="1" t="s">
        <v>291</v>
      </c>
      <c r="Q63" s="1" t="s">
        <v>276</v>
      </c>
      <c r="R63" s="1" t="s">
        <v>145</v>
      </c>
      <c r="S63" s="1" t="s">
        <v>7</v>
      </c>
      <c r="T63" s="3" t="s">
        <v>5</v>
      </c>
      <c r="U63" s="1">
        <v>2012</v>
      </c>
      <c r="V63" s="34" t="s">
        <v>214</v>
      </c>
      <c r="W63" s="1" t="s">
        <v>86</v>
      </c>
      <c r="X63" s="34">
        <v>28.864674000000001</v>
      </c>
      <c r="Y63" s="34">
        <v>-81.162205</v>
      </c>
      <c r="Z63" s="34" t="s">
        <v>276</v>
      </c>
      <c r="AA63" s="24"/>
    </row>
    <row r="64" spans="1:27" s="15" customFormat="1" ht="38.25" x14ac:dyDescent="0.2">
      <c r="A64" s="64">
        <v>2233</v>
      </c>
      <c r="B64" s="3" t="s">
        <v>290</v>
      </c>
      <c r="C64" s="91" t="s">
        <v>145</v>
      </c>
      <c r="D64" s="3" t="s">
        <v>39</v>
      </c>
      <c r="E64" s="34" t="s">
        <v>4</v>
      </c>
      <c r="F64" s="34" t="s">
        <v>242</v>
      </c>
      <c r="G64" s="3" t="s">
        <v>4</v>
      </c>
      <c r="H64" s="3" t="s">
        <v>5</v>
      </c>
      <c r="I64" s="102" t="s">
        <v>145</v>
      </c>
      <c r="J64" s="23">
        <v>101.1</v>
      </c>
      <c r="K64" s="23">
        <v>13.3</v>
      </c>
      <c r="L64" s="23" t="s">
        <v>145</v>
      </c>
      <c r="M64" s="23" t="s">
        <v>145</v>
      </c>
      <c r="N64" s="30" t="s">
        <v>276</v>
      </c>
      <c r="O64" s="30" t="s">
        <v>276</v>
      </c>
      <c r="P64" s="1" t="s">
        <v>291</v>
      </c>
      <c r="Q64" s="1" t="s">
        <v>276</v>
      </c>
      <c r="R64" s="1" t="s">
        <v>145</v>
      </c>
      <c r="S64" s="3" t="s">
        <v>2</v>
      </c>
      <c r="T64" s="3" t="s">
        <v>5</v>
      </c>
      <c r="U64" s="1">
        <v>2012</v>
      </c>
      <c r="V64" s="34" t="s">
        <v>214</v>
      </c>
      <c r="W64" s="1" t="s">
        <v>86</v>
      </c>
      <c r="X64" s="34" t="s">
        <v>145</v>
      </c>
      <c r="Y64" s="34" t="s">
        <v>145</v>
      </c>
      <c r="Z64" s="34">
        <v>2004</v>
      </c>
      <c r="AA64" s="24"/>
    </row>
    <row r="65" spans="1:27" s="15" customFormat="1" ht="38.25" x14ac:dyDescent="0.2">
      <c r="A65" s="64">
        <v>2237</v>
      </c>
      <c r="B65" s="3" t="s">
        <v>290</v>
      </c>
      <c r="C65" s="91" t="s">
        <v>145</v>
      </c>
      <c r="D65" s="3" t="s">
        <v>40</v>
      </c>
      <c r="E65" s="34" t="s">
        <v>41</v>
      </c>
      <c r="F65" s="34" t="s">
        <v>243</v>
      </c>
      <c r="G65" s="3" t="s">
        <v>41</v>
      </c>
      <c r="H65" s="3" t="s">
        <v>5</v>
      </c>
      <c r="I65" s="102" t="s">
        <v>145</v>
      </c>
      <c r="J65" s="23">
        <v>410</v>
      </c>
      <c r="K65" s="23">
        <v>263</v>
      </c>
      <c r="L65" s="23" t="s">
        <v>145</v>
      </c>
      <c r="M65" s="23" t="s">
        <v>145</v>
      </c>
      <c r="N65" s="30" t="s">
        <v>276</v>
      </c>
      <c r="O65" s="30" t="s">
        <v>276</v>
      </c>
      <c r="P65" s="1" t="s">
        <v>291</v>
      </c>
      <c r="Q65" s="1" t="s">
        <v>276</v>
      </c>
      <c r="R65" s="1" t="s">
        <v>145</v>
      </c>
      <c r="S65" s="3" t="s">
        <v>2</v>
      </c>
      <c r="T65" s="3" t="s">
        <v>5</v>
      </c>
      <c r="U65" s="1">
        <v>2012</v>
      </c>
      <c r="V65" s="34" t="s">
        <v>214</v>
      </c>
      <c r="W65" s="1" t="s">
        <v>86</v>
      </c>
      <c r="X65" s="34" t="s">
        <v>145</v>
      </c>
      <c r="Y65" s="34" t="s">
        <v>145</v>
      </c>
      <c r="Z65" s="34">
        <v>2004</v>
      </c>
      <c r="AA65" s="24"/>
    </row>
    <row r="66" spans="1:27" s="15" customFormat="1" ht="38.25" x14ac:dyDescent="0.2">
      <c r="A66" s="64">
        <v>2223</v>
      </c>
      <c r="B66" s="3" t="s">
        <v>290</v>
      </c>
      <c r="C66" s="91" t="s">
        <v>145</v>
      </c>
      <c r="D66" s="3" t="s">
        <v>42</v>
      </c>
      <c r="E66" s="34" t="s">
        <v>151</v>
      </c>
      <c r="F66" s="34" t="s">
        <v>244</v>
      </c>
      <c r="G66" s="3" t="s">
        <v>172</v>
      </c>
      <c r="H66" s="3" t="s">
        <v>5</v>
      </c>
      <c r="I66" s="102" t="s">
        <v>145</v>
      </c>
      <c r="J66" s="23">
        <v>194.9</v>
      </c>
      <c r="K66" s="23">
        <v>27.9</v>
      </c>
      <c r="L66" s="23" t="s">
        <v>145</v>
      </c>
      <c r="M66" s="23">
        <v>39.200000000000003</v>
      </c>
      <c r="N66" s="30" t="s">
        <v>276</v>
      </c>
      <c r="O66" s="30" t="s">
        <v>145</v>
      </c>
      <c r="P66" s="1" t="s">
        <v>291</v>
      </c>
      <c r="Q66" s="1" t="s">
        <v>276</v>
      </c>
      <c r="R66" s="1" t="s">
        <v>145</v>
      </c>
      <c r="S66" s="3" t="s">
        <v>2</v>
      </c>
      <c r="T66" s="3" t="s">
        <v>3</v>
      </c>
      <c r="U66" s="1">
        <v>2012</v>
      </c>
      <c r="V66" s="34" t="s">
        <v>469</v>
      </c>
      <c r="W66" s="1" t="s">
        <v>86</v>
      </c>
      <c r="X66" s="34" t="s">
        <v>145</v>
      </c>
      <c r="Y66" s="34" t="s">
        <v>145</v>
      </c>
      <c r="Z66" s="34" t="s">
        <v>145</v>
      </c>
      <c r="AA66" s="24"/>
    </row>
    <row r="67" spans="1:27" s="15" customFormat="1" ht="38.25" x14ac:dyDescent="0.2">
      <c r="A67" s="64">
        <v>2219</v>
      </c>
      <c r="B67" s="3" t="s">
        <v>290</v>
      </c>
      <c r="C67" s="91" t="s">
        <v>145</v>
      </c>
      <c r="D67" s="3" t="s">
        <v>43</v>
      </c>
      <c r="E67" s="34" t="s">
        <v>152</v>
      </c>
      <c r="F67" s="34" t="s">
        <v>245</v>
      </c>
      <c r="G67" s="3" t="s">
        <v>172</v>
      </c>
      <c r="H67" s="3" t="s">
        <v>5</v>
      </c>
      <c r="I67" s="102" t="s">
        <v>145</v>
      </c>
      <c r="J67" s="23">
        <v>117.6</v>
      </c>
      <c r="K67" s="23">
        <v>19</v>
      </c>
      <c r="L67" s="23" t="s">
        <v>145</v>
      </c>
      <c r="M67" s="23">
        <v>22.7</v>
      </c>
      <c r="N67" s="30" t="s">
        <v>276</v>
      </c>
      <c r="O67" s="30" t="s">
        <v>145</v>
      </c>
      <c r="P67" s="1" t="s">
        <v>291</v>
      </c>
      <c r="Q67" s="1" t="s">
        <v>276</v>
      </c>
      <c r="R67" s="1" t="s">
        <v>145</v>
      </c>
      <c r="S67" s="3" t="s">
        <v>2</v>
      </c>
      <c r="T67" s="3" t="s">
        <v>3</v>
      </c>
      <c r="U67" s="1">
        <v>2012</v>
      </c>
      <c r="V67" s="34" t="s">
        <v>469</v>
      </c>
      <c r="W67" s="1" t="s">
        <v>86</v>
      </c>
      <c r="X67" s="34" t="s">
        <v>145</v>
      </c>
      <c r="Y67" s="34" t="s">
        <v>145</v>
      </c>
      <c r="Z67" s="34" t="s">
        <v>145</v>
      </c>
      <c r="AA67" s="24"/>
    </row>
    <row r="68" spans="1:27" s="15" customFormat="1" ht="38.25" x14ac:dyDescent="0.2">
      <c r="A68" s="64">
        <v>2193</v>
      </c>
      <c r="B68" s="3" t="s">
        <v>290</v>
      </c>
      <c r="C68" s="91" t="s">
        <v>145</v>
      </c>
      <c r="D68" s="3" t="s">
        <v>44</v>
      </c>
      <c r="E68" s="34" t="s">
        <v>210</v>
      </c>
      <c r="F68" s="34" t="s">
        <v>234</v>
      </c>
      <c r="G68" s="3" t="s">
        <v>175</v>
      </c>
      <c r="H68" s="3" t="s">
        <v>5</v>
      </c>
      <c r="I68" s="102">
        <v>2016</v>
      </c>
      <c r="J68" s="23">
        <v>6.8</v>
      </c>
      <c r="K68" s="23">
        <v>1.5</v>
      </c>
      <c r="L68" s="23" t="s">
        <v>145</v>
      </c>
      <c r="M68" s="23">
        <v>4.3</v>
      </c>
      <c r="N68" s="30" t="s">
        <v>276</v>
      </c>
      <c r="O68" s="30" t="s">
        <v>276</v>
      </c>
      <c r="P68" s="1" t="s">
        <v>291</v>
      </c>
      <c r="Q68" s="1" t="s">
        <v>276</v>
      </c>
      <c r="R68" s="1" t="s">
        <v>145</v>
      </c>
      <c r="S68" s="1" t="s">
        <v>7</v>
      </c>
      <c r="T68" s="3" t="s">
        <v>3</v>
      </c>
      <c r="U68" s="1">
        <v>2012</v>
      </c>
      <c r="V68" s="34" t="s">
        <v>214</v>
      </c>
      <c r="W68" s="1" t="s">
        <v>86</v>
      </c>
      <c r="X68" s="34">
        <v>28.798333329999998</v>
      </c>
      <c r="Y68" s="34">
        <v>81.209166670000002</v>
      </c>
      <c r="Z68" s="34">
        <v>2012</v>
      </c>
      <c r="AA68" s="24"/>
    </row>
    <row r="69" spans="1:27" s="15" customFormat="1" ht="38.25" x14ac:dyDescent="0.2">
      <c r="A69" s="64">
        <v>2142</v>
      </c>
      <c r="B69" s="3" t="s">
        <v>290</v>
      </c>
      <c r="C69" s="91" t="s">
        <v>145</v>
      </c>
      <c r="D69" s="3" t="s">
        <v>45</v>
      </c>
      <c r="E69" s="34" t="s">
        <v>211</v>
      </c>
      <c r="F69" s="34" t="s">
        <v>234</v>
      </c>
      <c r="G69" s="3" t="s">
        <v>175</v>
      </c>
      <c r="H69" s="3" t="s">
        <v>5</v>
      </c>
      <c r="I69" s="102">
        <v>2016</v>
      </c>
      <c r="J69" s="23">
        <v>7.9</v>
      </c>
      <c r="K69" s="23">
        <v>0.8</v>
      </c>
      <c r="L69" s="23" t="s">
        <v>145</v>
      </c>
      <c r="M69" s="23">
        <v>8.5</v>
      </c>
      <c r="N69" s="30" t="s">
        <v>276</v>
      </c>
      <c r="O69" s="30" t="s">
        <v>276</v>
      </c>
      <c r="P69" s="1" t="s">
        <v>291</v>
      </c>
      <c r="Q69" s="1" t="s">
        <v>276</v>
      </c>
      <c r="R69" s="1" t="s">
        <v>145</v>
      </c>
      <c r="S69" s="1" t="s">
        <v>7</v>
      </c>
      <c r="T69" s="3" t="s">
        <v>3</v>
      </c>
      <c r="U69" s="1">
        <v>2012</v>
      </c>
      <c r="V69" s="34" t="s">
        <v>214</v>
      </c>
      <c r="W69" s="1" t="s">
        <v>86</v>
      </c>
      <c r="X69" s="34">
        <v>28.797644439999999</v>
      </c>
      <c r="Y69" s="34">
        <v>-81.213611110000002</v>
      </c>
      <c r="Z69" s="34">
        <v>2012</v>
      </c>
      <c r="AA69" s="24"/>
    </row>
    <row r="70" spans="1:27" s="15" customFormat="1" ht="38.25" x14ac:dyDescent="0.2">
      <c r="A70" s="64">
        <v>2194</v>
      </c>
      <c r="B70" s="3" t="s">
        <v>290</v>
      </c>
      <c r="C70" s="91" t="s">
        <v>145</v>
      </c>
      <c r="D70" s="3" t="s">
        <v>46</v>
      </c>
      <c r="E70" s="34" t="s">
        <v>47</v>
      </c>
      <c r="F70" s="34" t="s">
        <v>246</v>
      </c>
      <c r="G70" s="3" t="s">
        <v>168</v>
      </c>
      <c r="H70" s="3" t="s">
        <v>5</v>
      </c>
      <c r="I70" s="102">
        <v>2016</v>
      </c>
      <c r="J70" s="23">
        <v>11.6</v>
      </c>
      <c r="K70" s="23">
        <v>0.4</v>
      </c>
      <c r="L70" s="23" t="s">
        <v>145</v>
      </c>
      <c r="M70" s="23">
        <v>22</v>
      </c>
      <c r="N70" s="30" t="s">
        <v>276</v>
      </c>
      <c r="O70" s="30" t="s">
        <v>276</v>
      </c>
      <c r="P70" s="1" t="s">
        <v>291</v>
      </c>
      <c r="Q70" s="1" t="s">
        <v>276</v>
      </c>
      <c r="R70" s="1" t="s">
        <v>145</v>
      </c>
      <c r="S70" s="1" t="s">
        <v>7</v>
      </c>
      <c r="T70" s="3" t="s">
        <v>3</v>
      </c>
      <c r="U70" s="1">
        <v>2012</v>
      </c>
      <c r="V70" s="34" t="s">
        <v>214</v>
      </c>
      <c r="W70" s="1" t="s">
        <v>86</v>
      </c>
      <c r="X70" s="34">
        <v>28.80705</v>
      </c>
      <c r="Y70" s="34">
        <v>-81.207499999999996</v>
      </c>
      <c r="Z70" s="34">
        <v>2012</v>
      </c>
      <c r="AA70" s="24"/>
    </row>
    <row r="71" spans="1:27" s="15" customFormat="1" ht="38.25" x14ac:dyDescent="0.2">
      <c r="A71" s="64">
        <v>2195</v>
      </c>
      <c r="B71" s="3" t="s">
        <v>290</v>
      </c>
      <c r="C71" s="91" t="s">
        <v>145</v>
      </c>
      <c r="D71" s="3" t="s">
        <v>48</v>
      </c>
      <c r="E71" s="34" t="s">
        <v>212</v>
      </c>
      <c r="F71" s="34" t="s">
        <v>234</v>
      </c>
      <c r="G71" s="3" t="s">
        <v>175</v>
      </c>
      <c r="H71" s="3" t="s">
        <v>5</v>
      </c>
      <c r="I71" s="102">
        <v>2016</v>
      </c>
      <c r="J71" s="23">
        <v>10.199999999999999</v>
      </c>
      <c r="K71" s="23">
        <v>2.4</v>
      </c>
      <c r="L71" s="23" t="s">
        <v>145</v>
      </c>
      <c r="M71" s="23">
        <v>9.9</v>
      </c>
      <c r="N71" s="30" t="s">
        <v>276</v>
      </c>
      <c r="O71" s="30" t="s">
        <v>276</v>
      </c>
      <c r="P71" s="1" t="s">
        <v>291</v>
      </c>
      <c r="Q71" s="1" t="s">
        <v>276</v>
      </c>
      <c r="R71" s="1" t="s">
        <v>145</v>
      </c>
      <c r="S71" s="1" t="s">
        <v>7</v>
      </c>
      <c r="T71" s="3" t="s">
        <v>3</v>
      </c>
      <c r="U71" s="1">
        <v>2012</v>
      </c>
      <c r="V71" s="34" t="s">
        <v>214</v>
      </c>
      <c r="W71" s="1" t="s">
        <v>86</v>
      </c>
      <c r="X71" s="34">
        <v>28.816800000000001</v>
      </c>
      <c r="Y71" s="39">
        <v>-81.185833329999994</v>
      </c>
      <c r="Z71" s="34">
        <v>2012</v>
      </c>
      <c r="AA71" s="24"/>
    </row>
    <row r="72" spans="1:27" s="15" customFormat="1" ht="51" x14ac:dyDescent="0.2">
      <c r="A72" s="64">
        <v>2205</v>
      </c>
      <c r="B72" s="3" t="s">
        <v>290</v>
      </c>
      <c r="C72" s="81" t="s">
        <v>145</v>
      </c>
      <c r="D72" s="3" t="s">
        <v>50</v>
      </c>
      <c r="E72" s="34" t="s">
        <v>213</v>
      </c>
      <c r="F72" s="34" t="s">
        <v>234</v>
      </c>
      <c r="G72" s="3" t="s">
        <v>175</v>
      </c>
      <c r="H72" s="82" t="s">
        <v>5</v>
      </c>
      <c r="I72" s="102">
        <v>2019</v>
      </c>
      <c r="J72" s="23">
        <v>25.8</v>
      </c>
      <c r="K72" s="23">
        <v>6.3</v>
      </c>
      <c r="L72" s="23" t="s">
        <v>145</v>
      </c>
      <c r="M72" s="23">
        <v>18</v>
      </c>
      <c r="N72" s="30" t="s">
        <v>276</v>
      </c>
      <c r="O72" s="30" t="s">
        <v>276</v>
      </c>
      <c r="P72" s="1" t="s">
        <v>291</v>
      </c>
      <c r="Q72" s="1" t="s">
        <v>276</v>
      </c>
      <c r="R72" s="1" t="s">
        <v>145</v>
      </c>
      <c r="S72" s="1" t="s">
        <v>7</v>
      </c>
      <c r="T72" s="3" t="s">
        <v>146</v>
      </c>
      <c r="U72" s="1">
        <v>2012</v>
      </c>
      <c r="V72" s="34" t="s">
        <v>214</v>
      </c>
      <c r="W72" s="1" t="s">
        <v>86</v>
      </c>
      <c r="X72" s="34">
        <v>28.78944722</v>
      </c>
      <c r="Y72" s="34">
        <v>-81.246944439999993</v>
      </c>
      <c r="Z72" s="34">
        <v>2012</v>
      </c>
      <c r="AA72" s="24"/>
    </row>
    <row r="73" spans="1:27" s="15" customFormat="1" ht="38.25" x14ac:dyDescent="0.2">
      <c r="A73" s="64">
        <v>2196</v>
      </c>
      <c r="B73" s="3" t="s">
        <v>290</v>
      </c>
      <c r="C73" s="91" t="s">
        <v>145</v>
      </c>
      <c r="D73" s="3" t="s">
        <v>51</v>
      </c>
      <c r="E73" s="34" t="s">
        <v>149</v>
      </c>
      <c r="F73" s="34" t="s">
        <v>150</v>
      </c>
      <c r="G73" s="3" t="s">
        <v>149</v>
      </c>
      <c r="H73" s="3" t="s">
        <v>5</v>
      </c>
      <c r="I73" s="102">
        <v>2016</v>
      </c>
      <c r="J73" s="23">
        <v>712</v>
      </c>
      <c r="K73" s="28">
        <v>0</v>
      </c>
      <c r="L73" s="23" t="s">
        <v>145</v>
      </c>
      <c r="M73" s="23">
        <v>278.38</v>
      </c>
      <c r="N73" s="30" t="s">
        <v>276</v>
      </c>
      <c r="O73" s="30" t="s">
        <v>145</v>
      </c>
      <c r="P73" s="1" t="s">
        <v>291</v>
      </c>
      <c r="Q73" s="1" t="s">
        <v>276</v>
      </c>
      <c r="R73" s="1" t="s">
        <v>145</v>
      </c>
      <c r="S73" s="3" t="s">
        <v>2</v>
      </c>
      <c r="T73" s="3" t="s">
        <v>5</v>
      </c>
      <c r="U73" s="1">
        <v>2016</v>
      </c>
      <c r="V73" s="34" t="s">
        <v>214</v>
      </c>
      <c r="W73" s="1" t="s">
        <v>86</v>
      </c>
      <c r="X73" s="34" t="s">
        <v>145</v>
      </c>
      <c r="Y73" s="34" t="s">
        <v>145</v>
      </c>
      <c r="Z73" s="34">
        <v>2012</v>
      </c>
      <c r="AA73" s="24"/>
    </row>
    <row r="74" spans="1:27" s="15" customFormat="1" ht="38.25" x14ac:dyDescent="0.2">
      <c r="A74" s="64">
        <v>2221</v>
      </c>
      <c r="B74" s="3" t="s">
        <v>290</v>
      </c>
      <c r="C74" s="91" t="s">
        <v>145</v>
      </c>
      <c r="D74" s="3" t="s">
        <v>147</v>
      </c>
      <c r="E74" s="34" t="s">
        <v>439</v>
      </c>
      <c r="F74" s="34" t="s">
        <v>247</v>
      </c>
      <c r="G74" s="3" t="s">
        <v>175</v>
      </c>
      <c r="H74" s="3" t="s">
        <v>5</v>
      </c>
      <c r="I74" s="102">
        <v>2016</v>
      </c>
      <c r="J74" s="23">
        <v>51.8</v>
      </c>
      <c r="K74" s="23">
        <v>1.1000000000000001</v>
      </c>
      <c r="L74" s="23" t="s">
        <v>145</v>
      </c>
      <c r="M74" s="23">
        <v>15.74</v>
      </c>
      <c r="N74" s="30" t="s">
        <v>276</v>
      </c>
      <c r="O74" s="30" t="s">
        <v>276</v>
      </c>
      <c r="P74" s="1" t="s">
        <v>291</v>
      </c>
      <c r="Q74" s="1" t="s">
        <v>276</v>
      </c>
      <c r="R74" s="1" t="s">
        <v>145</v>
      </c>
      <c r="S74" s="1" t="s">
        <v>7</v>
      </c>
      <c r="T74" s="3" t="s">
        <v>5</v>
      </c>
      <c r="U74" s="1">
        <v>2016</v>
      </c>
      <c r="V74" s="34" t="s">
        <v>214</v>
      </c>
      <c r="W74" s="1" t="s">
        <v>86</v>
      </c>
      <c r="X74" s="34">
        <v>29.036000000000001</v>
      </c>
      <c r="Y74" s="34">
        <v>-81.212999999999994</v>
      </c>
      <c r="Z74" s="34">
        <v>2012</v>
      </c>
      <c r="AA74" s="24"/>
    </row>
    <row r="75" spans="1:27" s="15" customFormat="1" ht="38.25" x14ac:dyDescent="0.2">
      <c r="A75" s="64">
        <v>2197</v>
      </c>
      <c r="B75" s="3" t="s">
        <v>290</v>
      </c>
      <c r="C75" s="91" t="s">
        <v>145</v>
      </c>
      <c r="D75" s="3" t="s">
        <v>148</v>
      </c>
      <c r="E75" s="34" t="s">
        <v>439</v>
      </c>
      <c r="F75" s="34" t="s">
        <v>248</v>
      </c>
      <c r="G75" s="3" t="s">
        <v>175</v>
      </c>
      <c r="H75" s="3" t="s">
        <v>5</v>
      </c>
      <c r="I75" s="102">
        <v>2016</v>
      </c>
      <c r="J75" s="23">
        <v>59.1</v>
      </c>
      <c r="K75" s="23">
        <v>1.4</v>
      </c>
      <c r="L75" s="23" t="s">
        <v>145</v>
      </c>
      <c r="M75" s="23">
        <v>15.88</v>
      </c>
      <c r="N75" s="30" t="s">
        <v>276</v>
      </c>
      <c r="O75" s="30" t="s">
        <v>276</v>
      </c>
      <c r="P75" s="1" t="s">
        <v>291</v>
      </c>
      <c r="Q75" s="1" t="s">
        <v>276</v>
      </c>
      <c r="R75" s="1" t="s">
        <v>145</v>
      </c>
      <c r="S75" s="1" t="s">
        <v>7</v>
      </c>
      <c r="T75" s="3" t="s">
        <v>5</v>
      </c>
      <c r="U75" s="1">
        <v>2016</v>
      </c>
      <c r="V75" s="34" t="s">
        <v>214</v>
      </c>
      <c r="W75" s="1" t="s">
        <v>86</v>
      </c>
      <c r="X75" s="34">
        <v>29.064</v>
      </c>
      <c r="Y75" s="34">
        <v>-81.186999999999998</v>
      </c>
      <c r="Z75" s="34">
        <v>2012</v>
      </c>
      <c r="AA75" s="24"/>
    </row>
    <row r="76" spans="1:27" s="15" customFormat="1" ht="38.25" x14ac:dyDescent="0.2">
      <c r="A76" s="120">
        <v>5251</v>
      </c>
      <c r="B76" s="82" t="s">
        <v>290</v>
      </c>
      <c r="C76" s="81" t="s">
        <v>145</v>
      </c>
      <c r="D76" s="82" t="s">
        <v>440</v>
      </c>
      <c r="E76" s="117" t="s">
        <v>441</v>
      </c>
      <c r="F76" s="117" t="s">
        <v>442</v>
      </c>
      <c r="G76" s="82" t="s">
        <v>175</v>
      </c>
      <c r="H76" s="82" t="s">
        <v>3</v>
      </c>
      <c r="I76" s="85">
        <v>2021</v>
      </c>
      <c r="J76" s="83">
        <v>17.600000000000001</v>
      </c>
      <c r="K76" s="83">
        <v>6.6</v>
      </c>
      <c r="L76" s="83" t="s">
        <v>145</v>
      </c>
      <c r="M76" s="83">
        <v>18.68</v>
      </c>
      <c r="N76" s="84" t="s">
        <v>276</v>
      </c>
      <c r="O76" s="84" t="s">
        <v>276</v>
      </c>
      <c r="P76" s="81" t="s">
        <v>291</v>
      </c>
      <c r="Q76" s="81" t="s">
        <v>276</v>
      </c>
      <c r="R76" s="81" t="s">
        <v>145</v>
      </c>
      <c r="S76" s="1" t="s">
        <v>7</v>
      </c>
      <c r="T76" s="3" t="s">
        <v>3</v>
      </c>
      <c r="U76" s="1">
        <v>2019</v>
      </c>
      <c r="V76" s="34" t="s">
        <v>443</v>
      </c>
      <c r="W76" s="1" t="s">
        <v>86</v>
      </c>
      <c r="X76" s="34">
        <v>28.808909</v>
      </c>
      <c r="Y76" s="34">
        <v>-81.346625000000003</v>
      </c>
      <c r="Z76" s="1" t="s">
        <v>276</v>
      </c>
      <c r="AA76" s="24"/>
    </row>
    <row r="77" spans="1:27" s="15" customFormat="1" ht="25.5" x14ac:dyDescent="0.2">
      <c r="A77" s="64">
        <v>2198</v>
      </c>
      <c r="B77" s="3" t="s">
        <v>75</v>
      </c>
      <c r="C77" s="1" t="s">
        <v>276</v>
      </c>
      <c r="D77" s="3" t="s">
        <v>107</v>
      </c>
      <c r="E77" s="3" t="s">
        <v>4</v>
      </c>
      <c r="F77" s="3" t="s">
        <v>249</v>
      </c>
      <c r="G77" s="3" t="s">
        <v>4</v>
      </c>
      <c r="H77" s="3" t="s">
        <v>5</v>
      </c>
      <c r="I77" s="102" t="s">
        <v>145</v>
      </c>
      <c r="J77" s="23">
        <v>30.8</v>
      </c>
      <c r="K77" s="23">
        <v>4.5</v>
      </c>
      <c r="L77" s="23" t="s">
        <v>145</v>
      </c>
      <c r="M77" s="23" t="s">
        <v>145</v>
      </c>
      <c r="N77" s="30" t="s">
        <v>276</v>
      </c>
      <c r="O77" s="30" t="s">
        <v>276</v>
      </c>
      <c r="P77" s="1" t="s">
        <v>276</v>
      </c>
      <c r="Q77" s="1" t="s">
        <v>276</v>
      </c>
      <c r="R77" s="1" t="s">
        <v>145</v>
      </c>
      <c r="S77" s="3" t="s">
        <v>2</v>
      </c>
      <c r="T77" s="3" t="s">
        <v>5</v>
      </c>
      <c r="U77" s="1">
        <v>2012</v>
      </c>
      <c r="V77" s="1" t="s">
        <v>276</v>
      </c>
      <c r="W77" s="1" t="s">
        <v>86</v>
      </c>
      <c r="X77" s="1" t="s">
        <v>145</v>
      </c>
      <c r="Y77" s="1" t="s">
        <v>145</v>
      </c>
      <c r="Z77" s="1" t="s">
        <v>276</v>
      </c>
      <c r="AA77" s="24"/>
    </row>
    <row r="78" spans="1:27" s="15" customFormat="1" ht="25.5" x14ac:dyDescent="0.2">
      <c r="A78" s="3">
        <v>4383</v>
      </c>
      <c r="B78" s="3" t="s">
        <v>75</v>
      </c>
      <c r="C78" s="1" t="s">
        <v>61</v>
      </c>
      <c r="D78" s="3" t="s">
        <v>292</v>
      </c>
      <c r="E78" s="3" t="s">
        <v>295</v>
      </c>
      <c r="F78" s="3" t="s">
        <v>459</v>
      </c>
      <c r="G78" s="3" t="s">
        <v>298</v>
      </c>
      <c r="H78" s="3" t="s">
        <v>5</v>
      </c>
      <c r="I78" s="102" t="s">
        <v>468</v>
      </c>
      <c r="J78" s="28" t="s">
        <v>276</v>
      </c>
      <c r="K78" s="28" t="s">
        <v>276</v>
      </c>
      <c r="L78" s="23" t="s">
        <v>145</v>
      </c>
      <c r="M78" s="23">
        <v>5.7</v>
      </c>
      <c r="N78" s="30" t="s">
        <v>276</v>
      </c>
      <c r="O78" s="30" t="s">
        <v>276</v>
      </c>
      <c r="P78" s="1" t="s">
        <v>276</v>
      </c>
      <c r="Q78" s="1" t="s">
        <v>276</v>
      </c>
      <c r="R78" s="1" t="s">
        <v>145</v>
      </c>
      <c r="S78" s="3" t="s">
        <v>7</v>
      </c>
      <c r="T78" s="3" t="s">
        <v>5</v>
      </c>
      <c r="U78" s="1">
        <v>2018</v>
      </c>
      <c r="V78" s="1" t="s">
        <v>276</v>
      </c>
      <c r="W78" s="1" t="s">
        <v>86</v>
      </c>
      <c r="X78" s="1" t="s">
        <v>276</v>
      </c>
      <c r="Y78" s="1" t="s">
        <v>276</v>
      </c>
      <c r="Z78" s="1" t="s">
        <v>276</v>
      </c>
      <c r="AA78" s="24"/>
    </row>
    <row r="79" spans="1:27" s="15" customFormat="1" ht="38.25" x14ac:dyDescent="0.2">
      <c r="A79" s="3">
        <v>4384</v>
      </c>
      <c r="B79" s="3" t="s">
        <v>75</v>
      </c>
      <c r="C79" s="1" t="s">
        <v>61</v>
      </c>
      <c r="D79" s="3" t="s">
        <v>293</v>
      </c>
      <c r="E79" s="3" t="s">
        <v>296</v>
      </c>
      <c r="F79" s="3" t="s">
        <v>458</v>
      </c>
      <c r="G79" s="3" t="s">
        <v>298</v>
      </c>
      <c r="H79" s="3" t="s">
        <v>5</v>
      </c>
      <c r="I79" s="102" t="s">
        <v>468</v>
      </c>
      <c r="J79" s="28" t="s">
        <v>276</v>
      </c>
      <c r="K79" s="28" t="s">
        <v>276</v>
      </c>
      <c r="L79" s="23" t="s">
        <v>145</v>
      </c>
      <c r="M79" s="23">
        <v>3.2</v>
      </c>
      <c r="N79" s="30" t="s">
        <v>276</v>
      </c>
      <c r="O79" s="30" t="s">
        <v>276</v>
      </c>
      <c r="P79" s="1" t="s">
        <v>276</v>
      </c>
      <c r="Q79" s="1" t="s">
        <v>276</v>
      </c>
      <c r="R79" s="1" t="s">
        <v>145</v>
      </c>
      <c r="S79" s="3" t="s">
        <v>7</v>
      </c>
      <c r="T79" s="3" t="s">
        <v>5</v>
      </c>
      <c r="U79" s="1">
        <v>2018</v>
      </c>
      <c r="V79" s="1" t="s">
        <v>276</v>
      </c>
      <c r="W79" s="1" t="s">
        <v>86</v>
      </c>
      <c r="X79" s="1" t="s">
        <v>276</v>
      </c>
      <c r="Y79" s="1" t="s">
        <v>276</v>
      </c>
      <c r="Z79" s="1" t="s">
        <v>276</v>
      </c>
      <c r="AA79" s="24"/>
    </row>
    <row r="80" spans="1:27" s="15" customFormat="1" ht="25.5" x14ac:dyDescent="0.2">
      <c r="A80" s="3">
        <v>4385</v>
      </c>
      <c r="B80" s="3" t="s">
        <v>75</v>
      </c>
      <c r="C80" s="1" t="s">
        <v>61</v>
      </c>
      <c r="D80" s="3" t="s">
        <v>294</v>
      </c>
      <c r="E80" s="3" t="s">
        <v>297</v>
      </c>
      <c r="F80" s="3" t="s">
        <v>457</v>
      </c>
      <c r="G80" s="3" t="s">
        <v>176</v>
      </c>
      <c r="H80" s="3" t="s">
        <v>3</v>
      </c>
      <c r="I80" s="85">
        <v>2020</v>
      </c>
      <c r="J80" s="23" t="s">
        <v>177</v>
      </c>
      <c r="K80" s="23" t="s">
        <v>177</v>
      </c>
      <c r="L80" s="23" t="s">
        <v>145</v>
      </c>
      <c r="M80" s="23">
        <v>1.5</v>
      </c>
      <c r="N80" s="30">
        <v>40000</v>
      </c>
      <c r="O80" s="30">
        <v>3000</v>
      </c>
      <c r="P80" s="1" t="s">
        <v>75</v>
      </c>
      <c r="Q80" s="1" t="s">
        <v>276</v>
      </c>
      <c r="R80" s="1" t="s">
        <v>145</v>
      </c>
      <c r="S80" s="3" t="s">
        <v>7</v>
      </c>
      <c r="T80" s="3" t="s">
        <v>3</v>
      </c>
      <c r="U80" s="1">
        <v>2018</v>
      </c>
      <c r="V80" s="1" t="s">
        <v>276</v>
      </c>
      <c r="W80" s="1" t="s">
        <v>86</v>
      </c>
      <c r="X80" s="1" t="s">
        <v>276</v>
      </c>
      <c r="Y80" s="1" t="s">
        <v>276</v>
      </c>
      <c r="Z80" s="1" t="s">
        <v>276</v>
      </c>
      <c r="AA80" s="24"/>
    </row>
    <row r="81" spans="1:27" s="15" customFormat="1" ht="38.25" x14ac:dyDescent="0.2">
      <c r="A81" s="3">
        <v>2199</v>
      </c>
      <c r="B81" s="3" t="s">
        <v>76</v>
      </c>
      <c r="C81" s="1" t="s">
        <v>60</v>
      </c>
      <c r="D81" s="3" t="s">
        <v>108</v>
      </c>
      <c r="E81" s="3" t="s">
        <v>4</v>
      </c>
      <c r="F81" s="3" t="s">
        <v>250</v>
      </c>
      <c r="G81" s="3" t="s">
        <v>4</v>
      </c>
      <c r="H81" s="3" t="s">
        <v>5</v>
      </c>
      <c r="I81" s="102" t="s">
        <v>145</v>
      </c>
      <c r="J81" s="23">
        <v>361.5</v>
      </c>
      <c r="K81" s="23">
        <v>52.2</v>
      </c>
      <c r="L81" s="23" t="s">
        <v>145</v>
      </c>
      <c r="M81" s="23" t="s">
        <v>145</v>
      </c>
      <c r="N81" s="30" t="s">
        <v>145</v>
      </c>
      <c r="O81" s="30">
        <v>5500</v>
      </c>
      <c r="P81" s="30" t="s">
        <v>215</v>
      </c>
      <c r="Q81" s="30">
        <v>5500</v>
      </c>
      <c r="R81" s="1" t="s">
        <v>145</v>
      </c>
      <c r="S81" s="3" t="s">
        <v>2</v>
      </c>
      <c r="T81" s="3" t="s">
        <v>5</v>
      </c>
      <c r="U81" s="1">
        <v>2012</v>
      </c>
      <c r="V81" s="1" t="s">
        <v>276</v>
      </c>
      <c r="W81" s="1" t="s">
        <v>86</v>
      </c>
      <c r="X81" s="1" t="s">
        <v>145</v>
      </c>
      <c r="Y81" s="1" t="s">
        <v>145</v>
      </c>
      <c r="Z81" s="97" t="s">
        <v>216</v>
      </c>
      <c r="AA81" s="24"/>
    </row>
    <row r="82" spans="1:27" s="15" customFormat="1" ht="39.75" customHeight="1" x14ac:dyDescent="0.2">
      <c r="A82" s="3">
        <v>2200</v>
      </c>
      <c r="B82" s="3" t="s">
        <v>76</v>
      </c>
      <c r="C82" s="1" t="s">
        <v>145</v>
      </c>
      <c r="D82" s="3" t="s">
        <v>109</v>
      </c>
      <c r="E82" s="3" t="s">
        <v>41</v>
      </c>
      <c r="F82" s="3" t="s">
        <v>251</v>
      </c>
      <c r="G82" s="3" t="s">
        <v>41</v>
      </c>
      <c r="H82" s="3" t="s">
        <v>5</v>
      </c>
      <c r="I82" s="102" t="s">
        <v>145</v>
      </c>
      <c r="J82" s="23">
        <v>9.6</v>
      </c>
      <c r="K82" s="23">
        <v>6.4</v>
      </c>
      <c r="L82" s="23" t="s">
        <v>145</v>
      </c>
      <c r="M82" s="23" t="s">
        <v>145</v>
      </c>
      <c r="N82" s="30" t="s">
        <v>145</v>
      </c>
      <c r="O82" s="30">
        <v>13000</v>
      </c>
      <c r="P82" s="30" t="s">
        <v>215</v>
      </c>
      <c r="Q82" s="30">
        <v>13000</v>
      </c>
      <c r="R82" s="1" t="s">
        <v>145</v>
      </c>
      <c r="S82" s="3" t="s">
        <v>2</v>
      </c>
      <c r="T82" s="3" t="s">
        <v>5</v>
      </c>
      <c r="U82" s="1">
        <v>2012</v>
      </c>
      <c r="V82" s="1" t="s">
        <v>276</v>
      </c>
      <c r="W82" s="1" t="s">
        <v>86</v>
      </c>
      <c r="X82" s="1" t="s">
        <v>145</v>
      </c>
      <c r="Y82" s="1" t="s">
        <v>145</v>
      </c>
      <c r="Z82" s="97" t="s">
        <v>216</v>
      </c>
      <c r="AA82" s="24"/>
    </row>
    <row r="83" spans="1:27" s="15" customFormat="1" ht="25.5" x14ac:dyDescent="0.2">
      <c r="A83" s="3">
        <v>2201</v>
      </c>
      <c r="B83" s="3" t="s">
        <v>137</v>
      </c>
      <c r="C83" s="1" t="s">
        <v>145</v>
      </c>
      <c r="D83" s="3" t="s">
        <v>110</v>
      </c>
      <c r="E83" s="3" t="s">
        <v>4</v>
      </c>
      <c r="F83" s="3" t="s">
        <v>252</v>
      </c>
      <c r="G83" s="3" t="s">
        <v>4</v>
      </c>
      <c r="H83" s="3" t="s">
        <v>5</v>
      </c>
      <c r="I83" s="102" t="s">
        <v>145</v>
      </c>
      <c r="J83" s="93">
        <v>6</v>
      </c>
      <c r="K83" s="93">
        <v>1</v>
      </c>
      <c r="L83" s="23" t="s">
        <v>145</v>
      </c>
      <c r="M83" s="23" t="s">
        <v>145</v>
      </c>
      <c r="N83" s="30" t="s">
        <v>276</v>
      </c>
      <c r="O83" s="30" t="s">
        <v>276</v>
      </c>
      <c r="P83" s="1" t="s">
        <v>276</v>
      </c>
      <c r="Q83" s="1" t="s">
        <v>276</v>
      </c>
      <c r="R83" s="1" t="s">
        <v>145</v>
      </c>
      <c r="S83" s="3" t="s">
        <v>2</v>
      </c>
      <c r="T83" s="3" t="s">
        <v>5</v>
      </c>
      <c r="U83" s="1">
        <v>2012</v>
      </c>
      <c r="V83" s="1" t="s">
        <v>276</v>
      </c>
      <c r="W83" s="1" t="s">
        <v>86</v>
      </c>
      <c r="X83" s="1" t="s">
        <v>145</v>
      </c>
      <c r="Y83" s="1" t="s">
        <v>145</v>
      </c>
      <c r="Z83" s="1" t="s">
        <v>276</v>
      </c>
      <c r="AA83" s="24"/>
    </row>
    <row r="84" spans="1:27" s="15" customFormat="1" ht="38.25" x14ac:dyDescent="0.2">
      <c r="A84" s="119">
        <v>5252</v>
      </c>
      <c r="B84" s="92" t="s">
        <v>137</v>
      </c>
      <c r="C84" s="91" t="s">
        <v>145</v>
      </c>
      <c r="D84" s="92" t="s">
        <v>444</v>
      </c>
      <c r="E84" s="92" t="s">
        <v>445</v>
      </c>
      <c r="F84" s="92" t="s">
        <v>446</v>
      </c>
      <c r="G84" s="92" t="s">
        <v>302</v>
      </c>
      <c r="H84" s="92" t="s">
        <v>5</v>
      </c>
      <c r="I84" s="96" t="s">
        <v>145</v>
      </c>
      <c r="J84" s="93">
        <v>7</v>
      </c>
      <c r="K84" s="93">
        <v>3</v>
      </c>
      <c r="L84" s="93" t="s">
        <v>145</v>
      </c>
      <c r="M84" s="93" t="s">
        <v>145</v>
      </c>
      <c r="N84" s="94">
        <v>20000</v>
      </c>
      <c r="O84" s="94">
        <v>18687</v>
      </c>
      <c r="P84" s="91" t="s">
        <v>447</v>
      </c>
      <c r="Q84" s="95">
        <v>18687</v>
      </c>
      <c r="R84" s="91" t="s">
        <v>145</v>
      </c>
      <c r="S84" s="3" t="s">
        <v>2</v>
      </c>
      <c r="T84" s="3" t="s">
        <v>5</v>
      </c>
      <c r="U84" s="1">
        <v>2019</v>
      </c>
      <c r="V84" s="1" t="s">
        <v>145</v>
      </c>
      <c r="W84" s="1" t="s">
        <v>86</v>
      </c>
      <c r="X84" s="1" t="s">
        <v>145</v>
      </c>
      <c r="Y84" s="1" t="s">
        <v>145</v>
      </c>
      <c r="Z84" s="1" t="s">
        <v>276</v>
      </c>
      <c r="AA84" s="24"/>
    </row>
    <row r="85" spans="1:27" s="15" customFormat="1" ht="25.5" x14ac:dyDescent="0.2">
      <c r="A85" s="64">
        <v>2202</v>
      </c>
      <c r="B85" s="3" t="s">
        <v>77</v>
      </c>
      <c r="C85" s="1" t="s">
        <v>388</v>
      </c>
      <c r="D85" s="3" t="s">
        <v>111</v>
      </c>
      <c r="E85" s="3" t="s">
        <v>57</v>
      </c>
      <c r="F85" s="3" t="s">
        <v>253</v>
      </c>
      <c r="G85" s="1" t="s">
        <v>175</v>
      </c>
      <c r="H85" s="3" t="s">
        <v>5</v>
      </c>
      <c r="I85" s="102">
        <v>2007</v>
      </c>
      <c r="J85" s="23">
        <v>647.29999999999995</v>
      </c>
      <c r="K85" s="23">
        <v>173.9</v>
      </c>
      <c r="L85" s="23" t="s">
        <v>145</v>
      </c>
      <c r="M85" s="23">
        <v>187</v>
      </c>
      <c r="N85" s="20">
        <v>3491375</v>
      </c>
      <c r="O85" s="30" t="s">
        <v>276</v>
      </c>
      <c r="P85" s="30" t="s">
        <v>470</v>
      </c>
      <c r="Q85" s="1" t="s">
        <v>276</v>
      </c>
      <c r="R85" s="1" t="s">
        <v>276</v>
      </c>
      <c r="S85" s="1" t="s">
        <v>7</v>
      </c>
      <c r="T85" s="3" t="s">
        <v>5</v>
      </c>
      <c r="U85" s="1">
        <v>2012</v>
      </c>
      <c r="V85" s="1" t="s">
        <v>190</v>
      </c>
      <c r="W85" s="1" t="s">
        <v>86</v>
      </c>
      <c r="X85" s="1">
        <v>28.799714999999999</v>
      </c>
      <c r="Y85" s="1">
        <v>-81.277439999999999</v>
      </c>
      <c r="Z85" s="1" t="s">
        <v>276</v>
      </c>
      <c r="AA85" s="24"/>
    </row>
    <row r="86" spans="1:27" s="15" customFormat="1" ht="42.75" customHeight="1" x14ac:dyDescent="0.2">
      <c r="A86" s="64">
        <v>2217</v>
      </c>
      <c r="B86" s="3" t="s">
        <v>77</v>
      </c>
      <c r="C86" s="1" t="s">
        <v>261</v>
      </c>
      <c r="D86" s="3" t="s">
        <v>112</v>
      </c>
      <c r="E86" s="3" t="s">
        <v>58</v>
      </c>
      <c r="F86" s="3" t="s">
        <v>253</v>
      </c>
      <c r="G86" s="1" t="s">
        <v>175</v>
      </c>
      <c r="H86" s="3" t="s">
        <v>5</v>
      </c>
      <c r="I86" s="102">
        <v>2007</v>
      </c>
      <c r="J86" s="23">
        <v>1390.1</v>
      </c>
      <c r="K86" s="23">
        <v>405.6</v>
      </c>
      <c r="L86" s="23" t="s">
        <v>145</v>
      </c>
      <c r="M86" s="23">
        <v>379.7</v>
      </c>
      <c r="N86" s="20">
        <v>3072693</v>
      </c>
      <c r="O86" s="30" t="s">
        <v>276</v>
      </c>
      <c r="P86" s="30" t="s">
        <v>470</v>
      </c>
      <c r="Q86" s="1" t="s">
        <v>276</v>
      </c>
      <c r="R86" s="1" t="s">
        <v>276</v>
      </c>
      <c r="S86" s="1" t="s">
        <v>7</v>
      </c>
      <c r="T86" s="3" t="s">
        <v>5</v>
      </c>
      <c r="U86" s="1">
        <v>2012</v>
      </c>
      <c r="V86" s="1" t="s">
        <v>190</v>
      </c>
      <c r="W86" s="1" t="s">
        <v>86</v>
      </c>
      <c r="X86" s="1">
        <v>28.803953</v>
      </c>
      <c r="Y86" s="1">
        <v>-81.278460999999993</v>
      </c>
      <c r="Z86" s="1" t="s">
        <v>276</v>
      </c>
      <c r="AA86" s="24"/>
    </row>
    <row r="87" spans="1:27" s="15" customFormat="1" ht="25.5" x14ac:dyDescent="0.2">
      <c r="A87" s="64">
        <v>2204</v>
      </c>
      <c r="B87" s="3" t="s">
        <v>77</v>
      </c>
      <c r="C87" s="1" t="s">
        <v>145</v>
      </c>
      <c r="D87" s="3" t="s">
        <v>113</v>
      </c>
      <c r="E87" s="1" t="s">
        <v>41</v>
      </c>
      <c r="F87" s="3" t="s">
        <v>254</v>
      </c>
      <c r="G87" s="3" t="s">
        <v>41</v>
      </c>
      <c r="H87" s="3" t="s">
        <v>5</v>
      </c>
      <c r="I87" s="102" t="s">
        <v>145</v>
      </c>
      <c r="J87" s="23">
        <v>8866.5</v>
      </c>
      <c r="K87" s="23">
        <v>3993.3</v>
      </c>
      <c r="L87" s="23" t="s">
        <v>145</v>
      </c>
      <c r="M87" s="23" t="s">
        <v>145</v>
      </c>
      <c r="N87" s="30" t="s">
        <v>145</v>
      </c>
      <c r="O87" s="30">
        <v>170544</v>
      </c>
      <c r="P87" s="30" t="s">
        <v>258</v>
      </c>
      <c r="Q87" s="1" t="s">
        <v>145</v>
      </c>
      <c r="R87" s="1" t="s">
        <v>145</v>
      </c>
      <c r="S87" s="3" t="s">
        <v>2</v>
      </c>
      <c r="T87" s="3" t="s">
        <v>455</v>
      </c>
      <c r="U87" s="1">
        <v>2012</v>
      </c>
      <c r="V87" s="1" t="s">
        <v>276</v>
      </c>
      <c r="W87" s="1" t="s">
        <v>86</v>
      </c>
      <c r="X87" s="1" t="s">
        <v>145</v>
      </c>
      <c r="Y87" s="1" t="s">
        <v>145</v>
      </c>
      <c r="Z87" s="1" t="s">
        <v>276</v>
      </c>
      <c r="AA87" s="24"/>
    </row>
    <row r="88" spans="1:27" s="15" customFormat="1" ht="25.5" x14ac:dyDescent="0.2">
      <c r="A88" s="64">
        <v>2192</v>
      </c>
      <c r="B88" s="3" t="s">
        <v>77</v>
      </c>
      <c r="C88" s="1" t="s">
        <v>60</v>
      </c>
      <c r="D88" s="3" t="s">
        <v>114</v>
      </c>
      <c r="E88" s="1" t="s">
        <v>4</v>
      </c>
      <c r="F88" s="3" t="s">
        <v>255</v>
      </c>
      <c r="G88" s="3" t="s">
        <v>4</v>
      </c>
      <c r="H88" s="3" t="s">
        <v>5</v>
      </c>
      <c r="I88" s="102" t="s">
        <v>145</v>
      </c>
      <c r="J88" s="23">
        <v>2069.9</v>
      </c>
      <c r="K88" s="23">
        <v>324.5</v>
      </c>
      <c r="L88" s="23" t="s">
        <v>145</v>
      </c>
      <c r="M88" s="23" t="s">
        <v>145</v>
      </c>
      <c r="N88" s="30" t="s">
        <v>145</v>
      </c>
      <c r="O88" s="30">
        <v>2000</v>
      </c>
      <c r="P88" s="30" t="s">
        <v>258</v>
      </c>
      <c r="Q88" s="1" t="s">
        <v>145</v>
      </c>
      <c r="R88" s="1" t="s">
        <v>145</v>
      </c>
      <c r="S88" s="3" t="s">
        <v>2</v>
      </c>
      <c r="T88" s="3" t="s">
        <v>455</v>
      </c>
      <c r="U88" s="1">
        <v>2012</v>
      </c>
      <c r="V88" s="1" t="s">
        <v>276</v>
      </c>
      <c r="W88" s="1" t="s">
        <v>86</v>
      </c>
      <c r="X88" s="1" t="s">
        <v>145</v>
      </c>
      <c r="Y88" s="1" t="s">
        <v>145</v>
      </c>
      <c r="Z88" s="1" t="s">
        <v>276</v>
      </c>
      <c r="AA88" s="24"/>
    </row>
    <row r="89" spans="1:27" s="15" customFormat="1" ht="63.75" x14ac:dyDescent="0.2">
      <c r="A89" s="64">
        <v>2206</v>
      </c>
      <c r="B89" s="3" t="s">
        <v>77</v>
      </c>
      <c r="C89" s="1" t="s">
        <v>145</v>
      </c>
      <c r="D89" s="3" t="s">
        <v>115</v>
      </c>
      <c r="E89" s="3" t="s">
        <v>59</v>
      </c>
      <c r="F89" s="66" t="s">
        <v>256</v>
      </c>
      <c r="G89" s="3" t="s">
        <v>299</v>
      </c>
      <c r="H89" s="3" t="s">
        <v>5</v>
      </c>
      <c r="I89" s="102">
        <v>2015</v>
      </c>
      <c r="J89" s="23">
        <v>5.5</v>
      </c>
      <c r="K89" s="23">
        <v>0.7</v>
      </c>
      <c r="L89" s="23" t="s">
        <v>145</v>
      </c>
      <c r="M89" s="23" t="s">
        <v>145</v>
      </c>
      <c r="N89" s="30">
        <v>2400000</v>
      </c>
      <c r="O89" s="30" t="s">
        <v>276</v>
      </c>
      <c r="P89" s="1" t="s">
        <v>259</v>
      </c>
      <c r="Q89" s="1" t="s">
        <v>276</v>
      </c>
      <c r="R89" s="1" t="s">
        <v>145</v>
      </c>
      <c r="S89" s="1" t="s">
        <v>7</v>
      </c>
      <c r="T89" s="3" t="s">
        <v>5</v>
      </c>
      <c r="U89" s="1">
        <v>2014</v>
      </c>
      <c r="V89" s="1" t="s">
        <v>191</v>
      </c>
      <c r="W89" s="1" t="s">
        <v>86</v>
      </c>
      <c r="X89" s="1">
        <v>28.810718000000001</v>
      </c>
      <c r="Y89" s="1">
        <v>-81.264882999999998</v>
      </c>
      <c r="Z89" s="1" t="s">
        <v>276</v>
      </c>
      <c r="AA89" s="24"/>
    </row>
    <row r="90" spans="1:27" s="15" customFormat="1" ht="39" customHeight="1" x14ac:dyDescent="0.2">
      <c r="A90" s="64">
        <v>2207</v>
      </c>
      <c r="B90" s="3" t="s">
        <v>77</v>
      </c>
      <c r="C90" s="1" t="s">
        <v>261</v>
      </c>
      <c r="D90" s="3" t="s">
        <v>116</v>
      </c>
      <c r="E90" s="3" t="s">
        <v>81</v>
      </c>
      <c r="F90" s="27" t="s">
        <v>234</v>
      </c>
      <c r="G90" s="3" t="s">
        <v>175</v>
      </c>
      <c r="H90" s="3" t="s">
        <v>5</v>
      </c>
      <c r="I90" s="102">
        <v>2004</v>
      </c>
      <c r="J90" s="23">
        <v>1465.6</v>
      </c>
      <c r="K90" s="23">
        <v>433.8</v>
      </c>
      <c r="L90" s="23" t="s">
        <v>145</v>
      </c>
      <c r="M90" s="23">
        <v>412.1</v>
      </c>
      <c r="N90" s="20">
        <v>2085959</v>
      </c>
      <c r="O90" s="30" t="s">
        <v>276</v>
      </c>
      <c r="P90" s="30" t="s">
        <v>470</v>
      </c>
      <c r="Q90" s="1" t="s">
        <v>276</v>
      </c>
      <c r="R90" s="1" t="s">
        <v>276</v>
      </c>
      <c r="S90" s="1" t="s">
        <v>7</v>
      </c>
      <c r="T90" s="3" t="s">
        <v>5</v>
      </c>
      <c r="U90" s="1">
        <v>2014</v>
      </c>
      <c r="V90" s="1" t="s">
        <v>190</v>
      </c>
      <c r="W90" s="1" t="s">
        <v>86</v>
      </c>
      <c r="X90" s="1">
        <v>28.793465999999999</v>
      </c>
      <c r="Y90" s="1">
        <v>-81.286377000000002</v>
      </c>
      <c r="Z90" s="1" t="s">
        <v>276</v>
      </c>
      <c r="AA90" s="24"/>
    </row>
    <row r="91" spans="1:27" s="15" customFormat="1" ht="76.5" x14ac:dyDescent="0.2">
      <c r="A91" s="64">
        <v>2208</v>
      </c>
      <c r="B91" s="3" t="s">
        <v>77</v>
      </c>
      <c r="C91" s="1" t="s">
        <v>192</v>
      </c>
      <c r="D91" s="3" t="s">
        <v>117</v>
      </c>
      <c r="E91" s="3" t="s">
        <v>262</v>
      </c>
      <c r="F91" s="66" t="s">
        <v>257</v>
      </c>
      <c r="G91" s="3" t="s">
        <v>170</v>
      </c>
      <c r="H91" s="3" t="s">
        <v>5</v>
      </c>
      <c r="I91" s="102">
        <v>1997</v>
      </c>
      <c r="J91" s="23">
        <v>9</v>
      </c>
      <c r="K91" s="23">
        <v>6.7</v>
      </c>
      <c r="L91" s="23" t="s">
        <v>145</v>
      </c>
      <c r="M91" s="23">
        <v>200.1</v>
      </c>
      <c r="N91" s="30">
        <v>1891082</v>
      </c>
      <c r="O91" s="30" t="s">
        <v>276</v>
      </c>
      <c r="P91" s="30" t="s">
        <v>472</v>
      </c>
      <c r="Q91" s="1" t="s">
        <v>276</v>
      </c>
      <c r="R91" s="1" t="s">
        <v>276</v>
      </c>
      <c r="S91" s="1" t="s">
        <v>7</v>
      </c>
      <c r="T91" s="3" t="s">
        <v>5</v>
      </c>
      <c r="U91" s="1">
        <v>2014</v>
      </c>
      <c r="V91" s="1" t="s">
        <v>190</v>
      </c>
      <c r="W91" s="1" t="s">
        <v>86</v>
      </c>
      <c r="X91" s="1">
        <v>28.810824</v>
      </c>
      <c r="Y91" s="1">
        <v>-81.266910999999993</v>
      </c>
      <c r="Z91" s="1" t="s">
        <v>276</v>
      </c>
      <c r="AA91" s="24"/>
    </row>
    <row r="92" spans="1:27" s="15" customFormat="1" ht="51" x14ac:dyDescent="0.2">
      <c r="A92" s="64">
        <v>2209</v>
      </c>
      <c r="B92" s="3" t="s">
        <v>77</v>
      </c>
      <c r="C92" s="1" t="s">
        <v>261</v>
      </c>
      <c r="D92" s="1" t="s">
        <v>193</v>
      </c>
      <c r="E92" s="1" t="s">
        <v>263</v>
      </c>
      <c r="F92" s="1" t="s">
        <v>264</v>
      </c>
      <c r="G92" s="1" t="s">
        <v>194</v>
      </c>
      <c r="H92" s="1" t="s">
        <v>3</v>
      </c>
      <c r="I92" s="115" t="s">
        <v>478</v>
      </c>
      <c r="J92" s="28">
        <v>9992.1059999999998</v>
      </c>
      <c r="K92" s="28">
        <v>749.55600000000004</v>
      </c>
      <c r="L92" s="23" t="s">
        <v>145</v>
      </c>
      <c r="M92" s="28" t="s">
        <v>276</v>
      </c>
      <c r="N92" s="110">
        <v>16000000</v>
      </c>
      <c r="O92" s="110">
        <v>100000</v>
      </c>
      <c r="P92" s="30" t="s">
        <v>260</v>
      </c>
      <c r="Q92" s="30" t="s">
        <v>276</v>
      </c>
      <c r="R92" s="28" t="s">
        <v>276</v>
      </c>
      <c r="S92" s="1" t="s">
        <v>7</v>
      </c>
      <c r="T92" s="1" t="s">
        <v>195</v>
      </c>
      <c r="U92" s="1">
        <v>2017</v>
      </c>
      <c r="V92" s="30" t="s">
        <v>145</v>
      </c>
      <c r="W92" s="1" t="s">
        <v>86</v>
      </c>
      <c r="X92" s="27">
        <v>28.815211999999999</v>
      </c>
      <c r="Y92" s="27">
        <v>-81.283153999999996</v>
      </c>
      <c r="Z92" s="1">
        <v>2017</v>
      </c>
      <c r="AA92" s="24"/>
    </row>
    <row r="93" spans="1:27" s="15" customFormat="1" ht="25.5" x14ac:dyDescent="0.2">
      <c r="A93" s="64">
        <v>2203</v>
      </c>
      <c r="B93" s="3" t="s">
        <v>60</v>
      </c>
      <c r="C93" s="1" t="s">
        <v>276</v>
      </c>
      <c r="D93" s="3" t="s">
        <v>118</v>
      </c>
      <c r="E93" s="3" t="s">
        <v>266</v>
      </c>
      <c r="F93" s="3" t="s">
        <v>265</v>
      </c>
      <c r="G93" s="3" t="s">
        <v>175</v>
      </c>
      <c r="H93" s="3" t="s">
        <v>5</v>
      </c>
      <c r="I93" s="102">
        <v>2007</v>
      </c>
      <c r="J93" s="23">
        <v>1333.3</v>
      </c>
      <c r="K93" s="23">
        <v>395.6</v>
      </c>
      <c r="L93" s="23" t="s">
        <v>145</v>
      </c>
      <c r="M93" s="23">
        <v>422.7</v>
      </c>
      <c r="N93" s="20">
        <v>2334682</v>
      </c>
      <c r="O93" s="20">
        <v>20095</v>
      </c>
      <c r="P93" s="1" t="s">
        <v>276</v>
      </c>
      <c r="Q93" s="1" t="s">
        <v>276</v>
      </c>
      <c r="R93" s="1" t="s">
        <v>145</v>
      </c>
      <c r="S93" s="1" t="s">
        <v>7</v>
      </c>
      <c r="T93" s="3" t="s">
        <v>5</v>
      </c>
      <c r="U93" s="1">
        <v>2012</v>
      </c>
      <c r="V93" s="1" t="s">
        <v>276</v>
      </c>
      <c r="W93" s="1" t="s">
        <v>86</v>
      </c>
      <c r="X93" s="1" t="s">
        <v>276</v>
      </c>
      <c r="Y93" s="1" t="s">
        <v>276</v>
      </c>
      <c r="Z93" s="1" t="s">
        <v>276</v>
      </c>
      <c r="AA93" s="24"/>
    </row>
    <row r="94" spans="1:27" s="15" customFormat="1" ht="25.5" x14ac:dyDescent="0.2">
      <c r="A94" s="64">
        <v>2210</v>
      </c>
      <c r="B94" s="3" t="s">
        <v>60</v>
      </c>
      <c r="C94" s="1" t="s">
        <v>276</v>
      </c>
      <c r="D94" s="3" t="s">
        <v>119</v>
      </c>
      <c r="E94" s="1" t="s">
        <v>82</v>
      </c>
      <c r="F94" s="3" t="s">
        <v>265</v>
      </c>
      <c r="G94" s="3" t="s">
        <v>175</v>
      </c>
      <c r="H94" s="3" t="s">
        <v>5</v>
      </c>
      <c r="I94" s="102">
        <v>2009</v>
      </c>
      <c r="J94" s="23">
        <v>408.4</v>
      </c>
      <c r="K94" s="23">
        <v>118.4</v>
      </c>
      <c r="L94" s="23" t="s">
        <v>145</v>
      </c>
      <c r="M94" s="23">
        <v>121.8</v>
      </c>
      <c r="N94" s="20">
        <v>2163151</v>
      </c>
      <c r="O94" s="20">
        <v>26662</v>
      </c>
      <c r="P94" s="1" t="s">
        <v>276</v>
      </c>
      <c r="Q94" s="1" t="s">
        <v>276</v>
      </c>
      <c r="R94" s="1" t="s">
        <v>145</v>
      </c>
      <c r="S94" s="1" t="s">
        <v>7</v>
      </c>
      <c r="T94" s="3" t="s">
        <v>5</v>
      </c>
      <c r="U94" s="1">
        <v>2012</v>
      </c>
      <c r="V94" s="1" t="s">
        <v>276</v>
      </c>
      <c r="W94" s="1" t="s">
        <v>86</v>
      </c>
      <c r="X94" s="1" t="s">
        <v>276</v>
      </c>
      <c r="Y94" s="1" t="s">
        <v>276</v>
      </c>
      <c r="Z94" s="1" t="s">
        <v>276</v>
      </c>
      <c r="AA94" s="24"/>
    </row>
    <row r="95" spans="1:27" s="15" customFormat="1" ht="25.5" x14ac:dyDescent="0.2">
      <c r="A95" s="64">
        <v>2216</v>
      </c>
      <c r="B95" s="3" t="s">
        <v>60</v>
      </c>
      <c r="C95" s="1" t="s">
        <v>276</v>
      </c>
      <c r="D95" s="3" t="s">
        <v>120</v>
      </c>
      <c r="E95" s="1" t="s">
        <v>83</v>
      </c>
      <c r="F95" s="3" t="s">
        <v>265</v>
      </c>
      <c r="G95" s="3" t="s">
        <v>175</v>
      </c>
      <c r="H95" s="3" t="s">
        <v>5</v>
      </c>
      <c r="I95" s="102">
        <v>2007</v>
      </c>
      <c r="J95" s="23">
        <v>519.20000000000005</v>
      </c>
      <c r="K95" s="23">
        <v>134.4</v>
      </c>
      <c r="L95" s="23" t="s">
        <v>145</v>
      </c>
      <c r="M95" s="23">
        <v>229.7</v>
      </c>
      <c r="N95" s="20">
        <v>3884496</v>
      </c>
      <c r="O95" s="20">
        <v>19251</v>
      </c>
      <c r="P95" s="1" t="s">
        <v>276</v>
      </c>
      <c r="Q95" s="1" t="s">
        <v>276</v>
      </c>
      <c r="R95" s="1" t="s">
        <v>145</v>
      </c>
      <c r="S95" s="1" t="s">
        <v>7</v>
      </c>
      <c r="T95" s="3" t="s">
        <v>5</v>
      </c>
      <c r="U95" s="1">
        <v>2012</v>
      </c>
      <c r="V95" s="1" t="s">
        <v>276</v>
      </c>
      <c r="W95" s="1" t="s">
        <v>86</v>
      </c>
      <c r="X95" s="1" t="s">
        <v>276</v>
      </c>
      <c r="Y95" s="1" t="s">
        <v>276</v>
      </c>
      <c r="Z95" s="1" t="s">
        <v>276</v>
      </c>
      <c r="AA95" s="24"/>
    </row>
    <row r="96" spans="1:27" s="15" customFormat="1" ht="25.5" x14ac:dyDescent="0.2">
      <c r="A96" s="64">
        <v>2214</v>
      </c>
      <c r="B96" s="3" t="s">
        <v>60</v>
      </c>
      <c r="C96" s="1" t="s">
        <v>276</v>
      </c>
      <c r="D96" s="3" t="s">
        <v>121</v>
      </c>
      <c r="E96" s="1" t="s">
        <v>84</v>
      </c>
      <c r="F96" s="3" t="s">
        <v>265</v>
      </c>
      <c r="G96" s="3" t="s">
        <v>175</v>
      </c>
      <c r="H96" s="3" t="s">
        <v>5</v>
      </c>
      <c r="I96" s="102">
        <v>2007</v>
      </c>
      <c r="J96" s="23">
        <v>3201.1</v>
      </c>
      <c r="K96" s="23">
        <v>840.1</v>
      </c>
      <c r="L96" s="23" t="s">
        <v>145</v>
      </c>
      <c r="M96" s="23">
        <v>2757</v>
      </c>
      <c r="N96" s="20">
        <v>3504755</v>
      </c>
      <c r="O96" s="30" t="s">
        <v>276</v>
      </c>
      <c r="P96" s="1" t="s">
        <v>276</v>
      </c>
      <c r="Q96" s="1" t="s">
        <v>276</v>
      </c>
      <c r="R96" s="1" t="s">
        <v>145</v>
      </c>
      <c r="S96" s="1" t="s">
        <v>7</v>
      </c>
      <c r="T96" s="3" t="s">
        <v>5</v>
      </c>
      <c r="U96" s="1">
        <v>2012</v>
      </c>
      <c r="V96" s="1" t="s">
        <v>276</v>
      </c>
      <c r="W96" s="1" t="s">
        <v>86</v>
      </c>
      <c r="X96" s="1" t="s">
        <v>276</v>
      </c>
      <c r="Y96" s="1" t="s">
        <v>276</v>
      </c>
      <c r="Z96" s="1" t="s">
        <v>276</v>
      </c>
      <c r="AA96" s="24"/>
    </row>
    <row r="97" spans="1:27" s="15" customFormat="1" ht="25.5" x14ac:dyDescent="0.2">
      <c r="A97" s="64">
        <v>2213</v>
      </c>
      <c r="B97" s="3" t="s">
        <v>60</v>
      </c>
      <c r="C97" s="1" t="s">
        <v>276</v>
      </c>
      <c r="D97" s="3" t="s">
        <v>122</v>
      </c>
      <c r="E97" s="1" t="s">
        <v>41</v>
      </c>
      <c r="F97" s="3" t="s">
        <v>267</v>
      </c>
      <c r="G97" s="3" t="s">
        <v>41</v>
      </c>
      <c r="H97" s="3" t="s">
        <v>5</v>
      </c>
      <c r="I97" s="102" t="s">
        <v>145</v>
      </c>
      <c r="J97" s="23">
        <v>300</v>
      </c>
      <c r="K97" s="23">
        <v>135.1</v>
      </c>
      <c r="L97" s="23" t="s">
        <v>145</v>
      </c>
      <c r="M97" s="23" t="s">
        <v>145</v>
      </c>
      <c r="N97" s="30" t="s">
        <v>276</v>
      </c>
      <c r="O97" s="30" t="s">
        <v>276</v>
      </c>
      <c r="P97" s="1" t="s">
        <v>276</v>
      </c>
      <c r="Q97" s="1" t="s">
        <v>276</v>
      </c>
      <c r="R97" s="1" t="s">
        <v>145</v>
      </c>
      <c r="S97" s="3" t="s">
        <v>2</v>
      </c>
      <c r="T97" s="3" t="s">
        <v>5</v>
      </c>
      <c r="U97" s="1">
        <v>2012</v>
      </c>
      <c r="V97" s="1" t="s">
        <v>276</v>
      </c>
      <c r="W97" s="1" t="s">
        <v>86</v>
      </c>
      <c r="X97" s="1" t="s">
        <v>145</v>
      </c>
      <c r="Y97" s="1" t="s">
        <v>145</v>
      </c>
      <c r="Z97" s="1" t="s">
        <v>276</v>
      </c>
      <c r="AA97" s="24"/>
    </row>
    <row r="98" spans="1:27" s="15" customFormat="1" ht="38.25" x14ac:dyDescent="0.2">
      <c r="A98" s="64">
        <v>2212</v>
      </c>
      <c r="B98" s="3" t="s">
        <v>60</v>
      </c>
      <c r="C98" s="1" t="s">
        <v>276</v>
      </c>
      <c r="D98" s="3" t="s">
        <v>123</v>
      </c>
      <c r="E98" s="1" t="s">
        <v>4</v>
      </c>
      <c r="F98" s="3" t="s">
        <v>268</v>
      </c>
      <c r="G98" s="3" t="s">
        <v>4</v>
      </c>
      <c r="H98" s="3" t="s">
        <v>5</v>
      </c>
      <c r="I98" s="102" t="s">
        <v>145</v>
      </c>
      <c r="J98" s="23">
        <v>1875.8</v>
      </c>
      <c r="K98" s="23">
        <v>282.3</v>
      </c>
      <c r="L98" s="23" t="s">
        <v>145</v>
      </c>
      <c r="M98" s="23" t="s">
        <v>145</v>
      </c>
      <c r="N98" s="30" t="s">
        <v>276</v>
      </c>
      <c r="O98" s="30" t="s">
        <v>276</v>
      </c>
      <c r="P98" s="1" t="s">
        <v>276</v>
      </c>
      <c r="Q98" s="1" t="s">
        <v>276</v>
      </c>
      <c r="R98" s="1" t="s">
        <v>145</v>
      </c>
      <c r="S98" s="3" t="s">
        <v>2</v>
      </c>
      <c r="T98" s="3" t="s">
        <v>5</v>
      </c>
      <c r="U98" s="1">
        <v>2012</v>
      </c>
      <c r="V98" s="1" t="s">
        <v>276</v>
      </c>
      <c r="W98" s="1" t="s">
        <v>86</v>
      </c>
      <c r="X98" s="1" t="s">
        <v>145</v>
      </c>
      <c r="Y98" s="1" t="s">
        <v>145</v>
      </c>
      <c r="Z98" s="1" t="s">
        <v>276</v>
      </c>
      <c r="AA98" s="24"/>
    </row>
    <row r="99" spans="1:27" s="15" customFormat="1" ht="63.75" x14ac:dyDescent="0.2">
      <c r="A99" s="64">
        <v>2211</v>
      </c>
      <c r="B99" s="3" t="s">
        <v>60</v>
      </c>
      <c r="C99" s="1" t="s">
        <v>270</v>
      </c>
      <c r="D99" s="1" t="s">
        <v>199</v>
      </c>
      <c r="E99" s="1" t="s">
        <v>196</v>
      </c>
      <c r="F99" s="1" t="s">
        <v>269</v>
      </c>
      <c r="G99" s="1" t="s">
        <v>184</v>
      </c>
      <c r="H99" s="81" t="s">
        <v>5</v>
      </c>
      <c r="I99" s="102" t="s">
        <v>145</v>
      </c>
      <c r="J99" s="28" t="s">
        <v>177</v>
      </c>
      <c r="K99" s="28" t="s">
        <v>145</v>
      </c>
      <c r="L99" s="23" t="s">
        <v>145</v>
      </c>
      <c r="M99" s="28">
        <v>14267</v>
      </c>
      <c r="N99" s="30">
        <v>150000</v>
      </c>
      <c r="O99" s="30">
        <v>65000</v>
      </c>
      <c r="P99" s="91" t="s">
        <v>473</v>
      </c>
      <c r="Q99" s="1" t="s">
        <v>474</v>
      </c>
      <c r="R99" s="1" t="s">
        <v>197</v>
      </c>
      <c r="S99" s="3" t="s">
        <v>2</v>
      </c>
      <c r="T99" s="1" t="s">
        <v>5</v>
      </c>
      <c r="U99" s="1">
        <v>2017</v>
      </c>
      <c r="V99" s="1" t="s">
        <v>201</v>
      </c>
      <c r="W99" s="1" t="s">
        <v>86</v>
      </c>
      <c r="X99" s="1" t="s">
        <v>145</v>
      </c>
      <c r="Y99" s="1" t="s">
        <v>145</v>
      </c>
      <c r="Z99" s="40">
        <v>43374</v>
      </c>
      <c r="AA99" s="24"/>
    </row>
    <row r="100" spans="1:27" s="15" customFormat="1" ht="38.25" x14ac:dyDescent="0.2">
      <c r="A100" s="64">
        <v>2232</v>
      </c>
      <c r="B100" s="3" t="s">
        <v>60</v>
      </c>
      <c r="C100" s="1" t="s">
        <v>276</v>
      </c>
      <c r="D100" s="1" t="s">
        <v>200</v>
      </c>
      <c r="E100" s="3" t="s">
        <v>198</v>
      </c>
      <c r="F100" s="3" t="s">
        <v>271</v>
      </c>
      <c r="G100" s="3" t="s">
        <v>175</v>
      </c>
      <c r="H100" s="1" t="s">
        <v>5</v>
      </c>
      <c r="I100" s="107">
        <v>2016</v>
      </c>
      <c r="J100" s="31">
        <v>175</v>
      </c>
      <c r="K100" s="31">
        <v>35</v>
      </c>
      <c r="L100" s="23" t="s">
        <v>145</v>
      </c>
      <c r="M100" s="28">
        <v>25</v>
      </c>
      <c r="N100" s="33">
        <v>59300</v>
      </c>
      <c r="O100" s="33" t="s">
        <v>276</v>
      </c>
      <c r="P100" s="1" t="s">
        <v>276</v>
      </c>
      <c r="Q100" s="42" t="s">
        <v>276</v>
      </c>
      <c r="R100" s="1" t="s">
        <v>145</v>
      </c>
      <c r="S100" s="32" t="s">
        <v>7</v>
      </c>
      <c r="T100" s="3" t="s">
        <v>5</v>
      </c>
      <c r="U100" s="1">
        <v>2017</v>
      </c>
      <c r="V100" s="1" t="s">
        <v>276</v>
      </c>
      <c r="W100" s="1" t="s">
        <v>86</v>
      </c>
      <c r="X100" s="1" t="s">
        <v>276</v>
      </c>
      <c r="Y100" s="1" t="s">
        <v>276</v>
      </c>
      <c r="Z100" s="1" t="s">
        <v>276</v>
      </c>
      <c r="AA100" s="24"/>
    </row>
    <row r="101" spans="1:27" s="15" customFormat="1" ht="63.75" x14ac:dyDescent="0.2">
      <c r="A101" s="3">
        <v>2229</v>
      </c>
      <c r="B101" s="3" t="s">
        <v>202</v>
      </c>
      <c r="C101" s="1" t="s">
        <v>276</v>
      </c>
      <c r="D101" s="3" t="s">
        <v>124</v>
      </c>
      <c r="E101" s="1" t="s">
        <v>41</v>
      </c>
      <c r="F101" s="3" t="s">
        <v>272</v>
      </c>
      <c r="G101" s="3" t="s">
        <v>41</v>
      </c>
      <c r="H101" s="3" t="s">
        <v>5</v>
      </c>
      <c r="I101" s="102" t="s">
        <v>145</v>
      </c>
      <c r="J101" s="23">
        <v>53</v>
      </c>
      <c r="K101" s="23">
        <v>34</v>
      </c>
      <c r="L101" s="23" t="s">
        <v>145</v>
      </c>
      <c r="M101" s="23" t="s">
        <v>145</v>
      </c>
      <c r="N101" s="30" t="s">
        <v>276</v>
      </c>
      <c r="O101" s="30" t="s">
        <v>276</v>
      </c>
      <c r="P101" s="1" t="s">
        <v>276</v>
      </c>
      <c r="Q101" s="1" t="s">
        <v>276</v>
      </c>
      <c r="R101" s="1" t="s">
        <v>145</v>
      </c>
      <c r="S101" s="3" t="s">
        <v>2</v>
      </c>
      <c r="T101" s="3" t="s">
        <v>5</v>
      </c>
      <c r="U101" s="1">
        <v>2012</v>
      </c>
      <c r="V101" s="1" t="s">
        <v>276</v>
      </c>
      <c r="W101" s="1" t="s">
        <v>86</v>
      </c>
      <c r="X101" s="1" t="s">
        <v>145</v>
      </c>
      <c r="Y101" s="1" t="s">
        <v>145</v>
      </c>
      <c r="Z101" s="1" t="s">
        <v>276</v>
      </c>
      <c r="AA101" s="24"/>
    </row>
    <row r="102" spans="1:27" s="15" customFormat="1" ht="42" customHeight="1" x14ac:dyDescent="0.2">
      <c r="A102" s="3">
        <v>2234</v>
      </c>
      <c r="B102" s="3" t="s">
        <v>202</v>
      </c>
      <c r="C102" s="1" t="s">
        <v>276</v>
      </c>
      <c r="D102" s="1" t="s">
        <v>203</v>
      </c>
      <c r="E102" s="1" t="s">
        <v>4</v>
      </c>
      <c r="F102" s="1" t="s">
        <v>273</v>
      </c>
      <c r="G102" s="3" t="s">
        <v>4</v>
      </c>
      <c r="H102" s="3" t="s">
        <v>5</v>
      </c>
      <c r="I102" s="105" t="s">
        <v>145</v>
      </c>
      <c r="J102" s="28" t="s">
        <v>177</v>
      </c>
      <c r="K102" s="28" t="s">
        <v>177</v>
      </c>
      <c r="L102" s="23" t="s">
        <v>145</v>
      </c>
      <c r="M102" s="23" t="s">
        <v>145</v>
      </c>
      <c r="N102" s="30" t="s">
        <v>145</v>
      </c>
      <c r="O102" s="30" t="s">
        <v>145</v>
      </c>
      <c r="P102" s="1" t="s">
        <v>145</v>
      </c>
      <c r="Q102" s="1" t="s">
        <v>145</v>
      </c>
      <c r="R102" s="1" t="s">
        <v>145</v>
      </c>
      <c r="S102" s="3" t="s">
        <v>2</v>
      </c>
      <c r="T102" s="1" t="s">
        <v>3</v>
      </c>
      <c r="U102" s="1">
        <v>2017</v>
      </c>
      <c r="V102" s="1" t="s">
        <v>276</v>
      </c>
      <c r="W102" s="1" t="s">
        <v>204</v>
      </c>
      <c r="X102" s="1" t="s">
        <v>145</v>
      </c>
      <c r="Y102" s="1" t="s">
        <v>145</v>
      </c>
      <c r="Z102" s="1" t="s">
        <v>276</v>
      </c>
      <c r="AA102" s="24"/>
    </row>
    <row r="103" spans="1:27" s="15" customFormat="1" ht="25.5" x14ac:dyDescent="0.2">
      <c r="A103" s="3">
        <v>2235</v>
      </c>
      <c r="B103" s="3" t="s">
        <v>61</v>
      </c>
      <c r="C103" s="1" t="s">
        <v>276</v>
      </c>
      <c r="D103" s="3" t="s">
        <v>125</v>
      </c>
      <c r="E103" s="1" t="s">
        <v>62</v>
      </c>
      <c r="F103" s="1" t="s">
        <v>242</v>
      </c>
      <c r="G103" s="3" t="s">
        <v>4</v>
      </c>
      <c r="H103" s="3" t="s">
        <v>5</v>
      </c>
      <c r="I103" s="102" t="s">
        <v>145</v>
      </c>
      <c r="J103" s="23">
        <v>1391.9</v>
      </c>
      <c r="K103" s="23">
        <v>201</v>
      </c>
      <c r="L103" s="23" t="s">
        <v>145</v>
      </c>
      <c r="M103" s="23" t="s">
        <v>145</v>
      </c>
      <c r="N103" s="30" t="s">
        <v>276</v>
      </c>
      <c r="O103" s="30" t="s">
        <v>276</v>
      </c>
      <c r="P103" s="1" t="s">
        <v>276</v>
      </c>
      <c r="Q103" s="1" t="s">
        <v>276</v>
      </c>
      <c r="R103" s="1" t="s">
        <v>145</v>
      </c>
      <c r="S103" s="3" t="s">
        <v>2</v>
      </c>
      <c r="T103" s="3" t="s">
        <v>5</v>
      </c>
      <c r="U103" s="1">
        <v>2012</v>
      </c>
      <c r="V103" s="1" t="s">
        <v>276</v>
      </c>
      <c r="W103" s="1" t="s">
        <v>86</v>
      </c>
      <c r="X103" s="1" t="s">
        <v>145</v>
      </c>
      <c r="Y103" s="1" t="s">
        <v>145</v>
      </c>
      <c r="Z103" s="1" t="s">
        <v>276</v>
      </c>
      <c r="AA103" s="24"/>
    </row>
    <row r="104" spans="1:27" s="15" customFormat="1" ht="22.5" customHeight="1" x14ac:dyDescent="0.2">
      <c r="A104" s="3">
        <v>2236</v>
      </c>
      <c r="B104" s="3" t="s">
        <v>61</v>
      </c>
      <c r="C104" s="1" t="s">
        <v>276</v>
      </c>
      <c r="D104" s="3" t="s">
        <v>126</v>
      </c>
      <c r="E104" s="1" t="s">
        <v>41</v>
      </c>
      <c r="F104" s="1" t="s">
        <v>243</v>
      </c>
      <c r="G104" s="3" t="s">
        <v>41</v>
      </c>
      <c r="H104" s="3" t="s">
        <v>5</v>
      </c>
      <c r="I104" s="102" t="s">
        <v>145</v>
      </c>
      <c r="J104" s="35">
        <v>3130</v>
      </c>
      <c r="K104" s="35">
        <v>2007</v>
      </c>
      <c r="L104" s="23" t="s">
        <v>145</v>
      </c>
      <c r="M104" s="23" t="s">
        <v>145</v>
      </c>
      <c r="N104" s="30" t="s">
        <v>276</v>
      </c>
      <c r="O104" s="30" t="s">
        <v>276</v>
      </c>
      <c r="P104" s="1" t="s">
        <v>276</v>
      </c>
      <c r="Q104" s="1" t="s">
        <v>276</v>
      </c>
      <c r="R104" s="1" t="s">
        <v>145</v>
      </c>
      <c r="S104" s="3" t="s">
        <v>2</v>
      </c>
      <c r="T104" s="3" t="s">
        <v>5</v>
      </c>
      <c r="U104" s="1">
        <v>2012</v>
      </c>
      <c r="V104" s="1" t="s">
        <v>276</v>
      </c>
      <c r="W104" s="1" t="s">
        <v>86</v>
      </c>
      <c r="X104" s="1" t="s">
        <v>145</v>
      </c>
      <c r="Y104" s="1" t="s">
        <v>145</v>
      </c>
      <c r="Z104" s="1" t="s">
        <v>276</v>
      </c>
      <c r="AA104" s="24"/>
    </row>
    <row r="105" spans="1:27" s="15" customFormat="1" ht="25.5" x14ac:dyDescent="0.2">
      <c r="A105" s="3">
        <v>2231</v>
      </c>
      <c r="B105" s="3" t="s">
        <v>61</v>
      </c>
      <c r="C105" s="1" t="s">
        <v>276</v>
      </c>
      <c r="D105" s="3" t="s">
        <v>127</v>
      </c>
      <c r="E105" s="1" t="s">
        <v>78</v>
      </c>
      <c r="F105" s="3" t="s">
        <v>240</v>
      </c>
      <c r="G105" s="1" t="s">
        <v>176</v>
      </c>
      <c r="H105" s="3" t="s">
        <v>5</v>
      </c>
      <c r="I105" s="102">
        <v>2011</v>
      </c>
      <c r="J105" s="23">
        <v>6.6</v>
      </c>
      <c r="K105" s="23">
        <v>1.1000000000000001</v>
      </c>
      <c r="L105" s="23" t="s">
        <v>145</v>
      </c>
      <c r="M105" s="23">
        <v>1.8</v>
      </c>
      <c r="N105" s="20">
        <v>145000</v>
      </c>
      <c r="O105" s="30" t="s">
        <v>276</v>
      </c>
      <c r="P105" s="1" t="s">
        <v>276</v>
      </c>
      <c r="Q105" s="1" t="s">
        <v>276</v>
      </c>
      <c r="R105" s="1" t="s">
        <v>145</v>
      </c>
      <c r="S105" s="1" t="s">
        <v>7</v>
      </c>
      <c r="T105" s="3" t="s">
        <v>5</v>
      </c>
      <c r="U105" s="1">
        <v>2012</v>
      </c>
      <c r="V105" s="1" t="s">
        <v>276</v>
      </c>
      <c r="W105" s="1" t="s">
        <v>86</v>
      </c>
      <c r="X105" s="1" t="s">
        <v>276</v>
      </c>
      <c r="Y105" s="1" t="s">
        <v>276</v>
      </c>
      <c r="Z105" s="1" t="s">
        <v>276</v>
      </c>
      <c r="AA105" s="24"/>
    </row>
    <row r="106" spans="1:27" s="15" customFormat="1" ht="25.5" x14ac:dyDescent="0.2">
      <c r="A106" s="3">
        <v>2228</v>
      </c>
      <c r="B106" s="3" t="s">
        <v>61</v>
      </c>
      <c r="C106" s="1" t="s">
        <v>276</v>
      </c>
      <c r="D106" s="3" t="s">
        <v>128</v>
      </c>
      <c r="E106" s="1" t="s">
        <v>63</v>
      </c>
      <c r="F106" s="3" t="s">
        <v>240</v>
      </c>
      <c r="G106" s="1" t="s">
        <v>176</v>
      </c>
      <c r="H106" s="3" t="s">
        <v>5</v>
      </c>
      <c r="I106" s="102">
        <v>2011</v>
      </c>
      <c r="J106" s="23">
        <v>0.7</v>
      </c>
      <c r="K106" s="23">
        <v>0.1</v>
      </c>
      <c r="L106" s="23" t="s">
        <v>145</v>
      </c>
      <c r="M106" s="23">
        <v>0.2</v>
      </c>
      <c r="N106" s="20">
        <v>55550</v>
      </c>
      <c r="O106" s="30" t="s">
        <v>276</v>
      </c>
      <c r="P106" s="1" t="s">
        <v>276</v>
      </c>
      <c r="Q106" s="1" t="s">
        <v>276</v>
      </c>
      <c r="R106" s="1" t="s">
        <v>145</v>
      </c>
      <c r="S106" s="1" t="s">
        <v>7</v>
      </c>
      <c r="T106" s="3" t="s">
        <v>5</v>
      </c>
      <c r="U106" s="1">
        <v>2012</v>
      </c>
      <c r="V106" s="1" t="s">
        <v>276</v>
      </c>
      <c r="W106" s="1" t="s">
        <v>86</v>
      </c>
      <c r="X106" s="1" t="s">
        <v>276</v>
      </c>
      <c r="Y106" s="1" t="s">
        <v>276</v>
      </c>
      <c r="Z106" s="1" t="s">
        <v>276</v>
      </c>
      <c r="AA106" s="24"/>
    </row>
    <row r="107" spans="1:27" s="15" customFormat="1" ht="25.5" x14ac:dyDescent="0.2">
      <c r="A107" s="3">
        <v>2227</v>
      </c>
      <c r="B107" s="3" t="s">
        <v>61</v>
      </c>
      <c r="C107" s="1" t="s">
        <v>276</v>
      </c>
      <c r="D107" s="3" t="s">
        <v>129</v>
      </c>
      <c r="E107" s="1" t="s">
        <v>85</v>
      </c>
      <c r="F107" s="3" t="s">
        <v>274</v>
      </c>
      <c r="G107" s="3" t="s">
        <v>175</v>
      </c>
      <c r="H107" s="3" t="s">
        <v>5</v>
      </c>
      <c r="I107" s="102">
        <v>2012</v>
      </c>
      <c r="J107" s="23">
        <v>41</v>
      </c>
      <c r="K107" s="23">
        <v>10.3</v>
      </c>
      <c r="L107" s="23" t="s">
        <v>145</v>
      </c>
      <c r="M107" s="23">
        <v>123.3</v>
      </c>
      <c r="N107" s="30" t="s">
        <v>276</v>
      </c>
      <c r="O107" s="30" t="s">
        <v>276</v>
      </c>
      <c r="P107" s="1" t="s">
        <v>276</v>
      </c>
      <c r="Q107" s="1" t="s">
        <v>276</v>
      </c>
      <c r="R107" s="1" t="s">
        <v>145</v>
      </c>
      <c r="S107" s="1" t="s">
        <v>7</v>
      </c>
      <c r="T107" s="3" t="s">
        <v>5</v>
      </c>
      <c r="U107" s="1">
        <v>2012</v>
      </c>
      <c r="V107" s="1" t="s">
        <v>276</v>
      </c>
      <c r="W107" s="1" t="s">
        <v>86</v>
      </c>
      <c r="X107" s="1" t="s">
        <v>276</v>
      </c>
      <c r="Y107" s="1" t="s">
        <v>276</v>
      </c>
      <c r="Z107" s="1" t="s">
        <v>276</v>
      </c>
      <c r="AA107" s="24"/>
    </row>
    <row r="108" spans="1:27" s="15" customFormat="1" ht="38.25" x14ac:dyDescent="0.2">
      <c r="A108" s="3">
        <v>2226</v>
      </c>
      <c r="B108" s="3" t="s">
        <v>61</v>
      </c>
      <c r="C108" s="1" t="s">
        <v>276</v>
      </c>
      <c r="D108" s="3" t="s">
        <v>130</v>
      </c>
      <c r="E108" s="3" t="s">
        <v>174</v>
      </c>
      <c r="F108" s="3" t="s">
        <v>225</v>
      </c>
      <c r="G108" s="1" t="s">
        <v>172</v>
      </c>
      <c r="H108" s="3" t="s">
        <v>5</v>
      </c>
      <c r="I108" s="102">
        <v>2012</v>
      </c>
      <c r="J108" s="23">
        <v>657.9</v>
      </c>
      <c r="K108" s="23">
        <v>93.8</v>
      </c>
      <c r="L108" s="23" t="s">
        <v>145</v>
      </c>
      <c r="M108" s="23">
        <v>1003.3</v>
      </c>
      <c r="N108" s="33" t="s">
        <v>145</v>
      </c>
      <c r="O108" s="30" t="s">
        <v>145</v>
      </c>
      <c r="P108" s="1" t="s">
        <v>145</v>
      </c>
      <c r="Q108" s="1" t="s">
        <v>145</v>
      </c>
      <c r="R108" s="1" t="s">
        <v>145</v>
      </c>
      <c r="S108" s="3" t="s">
        <v>2</v>
      </c>
      <c r="T108" s="3" t="s">
        <v>5</v>
      </c>
      <c r="U108" s="1">
        <v>2012</v>
      </c>
      <c r="V108" s="1" t="s">
        <v>276</v>
      </c>
      <c r="W108" s="1" t="s">
        <v>86</v>
      </c>
      <c r="X108" s="1" t="s">
        <v>145</v>
      </c>
      <c r="Y108" s="1" t="s">
        <v>145</v>
      </c>
      <c r="Z108" s="1" t="s">
        <v>145</v>
      </c>
      <c r="AA108" s="24"/>
    </row>
    <row r="109" spans="1:27" s="15" customFormat="1" ht="25.5" x14ac:dyDescent="0.2">
      <c r="A109" s="3">
        <v>2225</v>
      </c>
      <c r="B109" s="3" t="s">
        <v>61</v>
      </c>
      <c r="C109" s="1" t="s">
        <v>276</v>
      </c>
      <c r="D109" s="3" t="s">
        <v>153</v>
      </c>
      <c r="E109" s="3" t="s">
        <v>154</v>
      </c>
      <c r="F109" s="3" t="s">
        <v>301</v>
      </c>
      <c r="G109" s="1" t="s">
        <v>302</v>
      </c>
      <c r="H109" s="3" t="s">
        <v>5</v>
      </c>
      <c r="I109" s="102" t="s">
        <v>145</v>
      </c>
      <c r="J109" s="28">
        <v>905</v>
      </c>
      <c r="K109" s="28">
        <v>556</v>
      </c>
      <c r="L109" s="23" t="s">
        <v>145</v>
      </c>
      <c r="M109" s="28" t="s">
        <v>145</v>
      </c>
      <c r="N109" s="33" t="s">
        <v>276</v>
      </c>
      <c r="O109" s="30" t="s">
        <v>276</v>
      </c>
      <c r="P109" s="1" t="s">
        <v>276</v>
      </c>
      <c r="Q109" s="1" t="s">
        <v>276</v>
      </c>
      <c r="R109" s="1" t="s">
        <v>145</v>
      </c>
      <c r="S109" s="3" t="s">
        <v>2</v>
      </c>
      <c r="T109" s="1" t="s">
        <v>455</v>
      </c>
      <c r="U109" s="1">
        <v>2016</v>
      </c>
      <c r="V109" s="1" t="s">
        <v>276</v>
      </c>
      <c r="W109" s="1" t="s">
        <v>86</v>
      </c>
      <c r="X109" s="1" t="s">
        <v>145</v>
      </c>
      <c r="Y109" s="1" t="s">
        <v>145</v>
      </c>
      <c r="Z109" s="1" t="s">
        <v>276</v>
      </c>
      <c r="AA109" s="24"/>
    </row>
    <row r="110" spans="1:27" s="15" customFormat="1" ht="32.1" customHeight="1" x14ac:dyDescent="0.2">
      <c r="A110" s="3">
        <v>2224</v>
      </c>
      <c r="B110" s="3" t="s">
        <v>61</v>
      </c>
      <c r="C110" s="1" t="s">
        <v>471</v>
      </c>
      <c r="D110" s="1" t="s">
        <v>219</v>
      </c>
      <c r="E110" s="1" t="s">
        <v>217</v>
      </c>
      <c r="F110" s="1" t="s">
        <v>275</v>
      </c>
      <c r="G110" s="1" t="s">
        <v>299</v>
      </c>
      <c r="H110" s="81" t="s">
        <v>5</v>
      </c>
      <c r="I110" s="115" t="s">
        <v>436</v>
      </c>
      <c r="J110" s="28">
        <v>850</v>
      </c>
      <c r="K110" s="28">
        <v>135</v>
      </c>
      <c r="L110" s="23" t="s">
        <v>145</v>
      </c>
      <c r="M110" s="28">
        <v>208</v>
      </c>
      <c r="N110" s="30">
        <v>381900</v>
      </c>
      <c r="O110" s="30" t="s">
        <v>276</v>
      </c>
      <c r="P110" s="81" t="s">
        <v>461</v>
      </c>
      <c r="Q110" s="1" t="s">
        <v>389</v>
      </c>
      <c r="R110" s="1" t="s">
        <v>218</v>
      </c>
      <c r="S110" s="1" t="s">
        <v>7</v>
      </c>
      <c r="T110" s="1" t="s">
        <v>188</v>
      </c>
      <c r="U110" s="1">
        <v>2017</v>
      </c>
      <c r="V110" s="1" t="s">
        <v>276</v>
      </c>
      <c r="W110" s="1" t="s">
        <v>86</v>
      </c>
      <c r="X110" s="1">
        <v>28.867999999999999</v>
      </c>
      <c r="Y110" s="1">
        <v>81.298000000000002</v>
      </c>
      <c r="Z110" s="41">
        <v>43344</v>
      </c>
      <c r="AA110" s="24"/>
    </row>
    <row r="111" spans="1:27" s="15" customFormat="1" ht="32.1" customHeight="1" x14ac:dyDescent="0.2">
      <c r="A111" s="119">
        <v>5253</v>
      </c>
      <c r="B111" s="82" t="s">
        <v>61</v>
      </c>
      <c r="C111" s="81" t="s">
        <v>145</v>
      </c>
      <c r="D111" s="81" t="s">
        <v>448</v>
      </c>
      <c r="E111" s="81" t="s">
        <v>449</v>
      </c>
      <c r="F111" s="81" t="s">
        <v>450</v>
      </c>
      <c r="G111" s="81" t="s">
        <v>184</v>
      </c>
      <c r="H111" s="81" t="s">
        <v>5</v>
      </c>
      <c r="I111" s="85" t="s">
        <v>145</v>
      </c>
      <c r="J111" s="80" t="s">
        <v>177</v>
      </c>
      <c r="K111" s="80" t="s">
        <v>145</v>
      </c>
      <c r="L111" s="83" t="s">
        <v>145</v>
      </c>
      <c r="M111" s="80" t="s">
        <v>145</v>
      </c>
      <c r="N111" s="84" t="s">
        <v>276</v>
      </c>
      <c r="O111" s="84" t="s">
        <v>276</v>
      </c>
      <c r="P111" s="81" t="s">
        <v>451</v>
      </c>
      <c r="Q111" s="81" t="s">
        <v>145</v>
      </c>
      <c r="R111" s="81" t="s">
        <v>145</v>
      </c>
      <c r="S111" s="81" t="s">
        <v>2</v>
      </c>
      <c r="T111" s="81" t="s">
        <v>5</v>
      </c>
      <c r="U111" s="81">
        <v>2019</v>
      </c>
      <c r="V111" s="81" t="s">
        <v>276</v>
      </c>
      <c r="W111" s="81" t="s">
        <v>86</v>
      </c>
      <c r="X111" s="81" t="s">
        <v>145</v>
      </c>
      <c r="Y111" s="81" t="s">
        <v>145</v>
      </c>
      <c r="Z111" s="116">
        <v>2019</v>
      </c>
      <c r="AA111" s="24"/>
    </row>
    <row r="112" spans="1:27" ht="38.25" x14ac:dyDescent="0.25">
      <c r="A112" s="121">
        <v>5254</v>
      </c>
      <c r="B112" s="82" t="s">
        <v>61</v>
      </c>
      <c r="C112" s="82" t="s">
        <v>475</v>
      </c>
      <c r="D112" s="82" t="s">
        <v>476</v>
      </c>
      <c r="E112" s="82" t="s">
        <v>477</v>
      </c>
      <c r="F112" s="82" t="s">
        <v>481</v>
      </c>
      <c r="G112" s="82" t="s">
        <v>299</v>
      </c>
      <c r="H112" s="82" t="s">
        <v>188</v>
      </c>
      <c r="I112" s="118" t="s">
        <v>478</v>
      </c>
      <c r="J112" s="82" t="s">
        <v>177</v>
      </c>
      <c r="K112" s="82" t="s">
        <v>177</v>
      </c>
      <c r="L112" s="82" t="s">
        <v>145</v>
      </c>
      <c r="M112" s="82">
        <v>65</v>
      </c>
      <c r="N112" s="84">
        <v>476354</v>
      </c>
      <c r="O112" s="84" t="s">
        <v>276</v>
      </c>
      <c r="P112" s="82" t="s">
        <v>475</v>
      </c>
      <c r="Q112" s="82" t="s">
        <v>177</v>
      </c>
      <c r="R112" s="82" t="s">
        <v>177</v>
      </c>
      <c r="S112" s="82" t="s">
        <v>7</v>
      </c>
      <c r="T112" s="82" t="s">
        <v>188</v>
      </c>
      <c r="U112" s="82">
        <v>2019</v>
      </c>
      <c r="V112" s="82" t="s">
        <v>276</v>
      </c>
      <c r="W112" s="82" t="s">
        <v>86</v>
      </c>
      <c r="X112" s="82" t="s">
        <v>145</v>
      </c>
      <c r="Y112" s="82" t="s">
        <v>145</v>
      </c>
      <c r="Z112" s="82">
        <v>2020</v>
      </c>
      <c r="AA112" s="24"/>
    </row>
  </sheetData>
  <autoFilter ref="A1:AA112" xr:uid="{F0B3CA6A-4E04-406C-A549-3BCDAC3A998C}"/>
  <phoneticPr fontId="12"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'Z:\FileServer Data\FDEP Middle Basin\Lakes Harney and Monroe\BMAP and Annual Reports\2017 Annual Report\2017 Project Collection\Recieved 2017\DeBary\[DeBary_LHM_Project Collection 2017 (02-05-2018).xlsx]Instructions'!#REF!</xm:f>
          </x14:formula1>
          <xm:sqref>G13</xm:sqref>
        </x14:dataValidation>
        <x14:dataValidation type="list" allowBlank="1" showInputMessage="1" showErrorMessage="1" xr:uid="{00000000-0002-0000-0000-000001000000}">
          <x14:formula1>
            <xm:f>'Z:\FileServer Data\FDEP Middle Basin\Lakes Harney and Monroe\BMAP and Annual Reports\2017 Annual Report\2017 Project Collection\Recieved 2017\Sanford\[Sanford_LHM_Project Collection 2017 R1.xlsx]Instructions'!#REF!</xm:f>
          </x14:formula1>
          <xm:sqref>H85:H91 G85:G86 G90:G91</xm:sqref>
        </x14:dataValidation>
        <x14:dataValidation type="list" allowBlank="1" showInputMessage="1" showErrorMessage="1" xr:uid="{00000000-0002-0000-0000-000002000000}">
          <x14:formula1>
            <xm:f>'file:///Z:\FileServer Data\FDEP Middle Basin\Lakes Harney and Monroe\BMAP and Annual Reports\2017 Annual Report\2017 Project Collection\Recieved 2017\Seminole Co\[Seminole County_LHM_Project Collection 2017revised final final.xlsx]Instructions'!#REF!</xm:f>
          </x14:formula1>
          <xm:sqref>G100:H100 S100</xm:sqref>
        </x14:dataValidation>
        <x14:dataValidation type="list" allowBlank="1" showInputMessage="1" showErrorMessage="1" xr:uid="{00000000-0002-0000-0000-000005000000}">
          <x14:formula1>
            <xm:f>'C:\Users\kn853tr\Desktop\Wekiva BMAP\[Turnpike Enterprise_Wekiva Project Collection 2017Revised.xlsx]Instructions'!#REF!</xm:f>
          </x14:formula1>
          <xm:sqref>T102</xm:sqref>
        </x14:dataValidation>
        <x14:dataValidation type="list" allowBlank="1" showInputMessage="1" showErrorMessage="1" xr:uid="{00000000-0002-0000-0000-000006000000}">
          <x14:formula1>
            <xm:f>'Z:\FileServer Data\FDEP Middle Basin\Lakes Harney and Monroe\BMAP and Annual Reports\2017 Annual Report\2017 Project Collection\Recieved 2017\[FDOT D5_LHM_STAR Project Updates.xlsx]Instructions'!#REF!</xm:f>
          </x14:formula1>
          <xm:sqref>G43:G46</xm:sqref>
        </x14:dataValidation>
      </x14:dataValidations>
    </ext>
    <ext xmlns:x15="http://schemas.microsoft.com/office/spreadsheetml/2010/11/main" uri="{F7C9EE02-42E1-4005-9D12-6889AFFD525C}">
      <x15:webExtensions xmlns:xm="http://schemas.microsoft.com/office/excel/2006/main">
        <x15:webExtension appRef="{0A631B3A-C181-47EA-9680-6D297288700F}">
          <xm:f>'Harney-Monroe All Projects'!$A$1:$Z$112</xm:f>
        </x15:webExtension>
      </x15:webExtens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9"/>
  <sheetViews>
    <sheetView topLeftCell="B1" workbookViewId="0">
      <selection activeCell="D20" sqref="D20"/>
    </sheetView>
  </sheetViews>
  <sheetFormatPr defaultRowHeight="15" x14ac:dyDescent="0.25"/>
  <cols>
    <col min="1" max="1" width="21" bestFit="1" customWidth="1"/>
    <col min="2" max="2" width="17.85546875" bestFit="1" customWidth="1"/>
    <col min="3" max="3" width="8.28515625" bestFit="1" customWidth="1"/>
    <col min="4" max="4" width="10.140625" bestFit="1" customWidth="1"/>
    <col min="5" max="5" width="11.28515625" bestFit="1" customWidth="1"/>
    <col min="6" max="6" width="10.7109375" bestFit="1" customWidth="1"/>
    <col min="7" max="7" width="23.140625" bestFit="1" customWidth="1"/>
    <col min="8" max="8" width="11.42578125" bestFit="1" customWidth="1"/>
    <col min="9" max="9" width="16.42578125" customWidth="1"/>
    <col min="10" max="10" width="15.140625" customWidth="1"/>
    <col min="11" max="11" width="11" customWidth="1"/>
    <col min="12" max="12" width="14.140625" customWidth="1"/>
    <col min="13" max="13" width="9.85546875" customWidth="1"/>
    <col min="14" max="14" width="10.28515625" customWidth="1"/>
    <col min="15" max="15" width="12.28515625" customWidth="1"/>
    <col min="16" max="16" width="10" customWidth="1"/>
    <col min="17" max="17" width="9.85546875" customWidth="1"/>
  </cols>
  <sheetData>
    <row r="1" spans="1:17" x14ac:dyDescent="0.25">
      <c r="A1" s="63" t="s">
        <v>285</v>
      </c>
      <c r="B1" s="54"/>
      <c r="C1" s="54"/>
      <c r="D1" s="54"/>
      <c r="E1" s="54"/>
      <c r="F1" s="54"/>
      <c r="G1" s="54"/>
      <c r="H1" s="54"/>
      <c r="I1" s="54"/>
      <c r="J1" s="54"/>
      <c r="K1" s="54"/>
      <c r="L1" s="54"/>
      <c r="M1" s="54"/>
      <c r="N1" s="54"/>
      <c r="O1" s="54"/>
    </row>
    <row r="2" spans="1:17" x14ac:dyDescent="0.25">
      <c r="A2" s="19" t="s">
        <v>158</v>
      </c>
      <c r="B2" s="19"/>
      <c r="C2" s="19"/>
      <c r="D2" s="19"/>
      <c r="E2" s="19"/>
      <c r="F2" s="19"/>
      <c r="G2" s="19"/>
      <c r="H2" s="19"/>
      <c r="I2" s="19"/>
      <c r="J2" s="19"/>
      <c r="K2" s="19"/>
      <c r="L2" s="19"/>
      <c r="M2" s="19"/>
      <c r="N2" s="19"/>
      <c r="O2" s="19"/>
    </row>
    <row r="3" spans="1:17" ht="15.75" x14ac:dyDescent="0.25">
      <c r="A3" s="18" t="s">
        <v>159</v>
      </c>
      <c r="B3" s="18"/>
      <c r="C3" s="15"/>
      <c r="D3" s="15"/>
      <c r="E3" s="15"/>
      <c r="F3" s="15"/>
      <c r="G3" s="15"/>
      <c r="H3" s="15"/>
      <c r="I3" s="15"/>
      <c r="J3" s="15"/>
      <c r="K3" s="15"/>
      <c r="L3" s="15"/>
      <c r="M3" s="15"/>
      <c r="N3" s="15"/>
      <c r="O3" s="15"/>
    </row>
    <row r="4" spans="1:17" ht="15.75" x14ac:dyDescent="0.25">
      <c r="A4" s="18" t="s">
        <v>160</v>
      </c>
      <c r="B4" s="18"/>
      <c r="C4" s="15"/>
      <c r="D4" s="15"/>
      <c r="E4" s="15"/>
      <c r="F4" s="15"/>
      <c r="G4" s="15"/>
      <c r="H4" s="15"/>
      <c r="I4" s="15"/>
      <c r="J4" s="15"/>
      <c r="K4" s="15"/>
      <c r="L4" s="15"/>
      <c r="M4" s="15"/>
      <c r="N4" s="15"/>
      <c r="O4" s="15"/>
    </row>
    <row r="5" spans="1:17" ht="15.75" x14ac:dyDescent="0.25">
      <c r="A5" s="18" t="s">
        <v>161</v>
      </c>
      <c r="B5" s="15"/>
      <c r="C5" s="15"/>
      <c r="D5" s="15"/>
      <c r="E5" s="15"/>
      <c r="F5" s="15"/>
      <c r="G5" s="15"/>
      <c r="H5" s="15"/>
      <c r="I5" s="15"/>
      <c r="J5" s="15"/>
      <c r="K5" s="15"/>
      <c r="L5" s="15"/>
      <c r="M5" s="15"/>
      <c r="N5" s="15"/>
      <c r="O5" s="15"/>
    </row>
    <row r="6" spans="1:17" ht="15.75" x14ac:dyDescent="0.25">
      <c r="A6" s="18" t="s">
        <v>162</v>
      </c>
      <c r="B6" s="15"/>
      <c r="C6" s="15"/>
      <c r="D6" s="15"/>
      <c r="E6" s="15"/>
      <c r="F6" s="15"/>
      <c r="G6" s="15"/>
      <c r="H6" s="15"/>
      <c r="I6" s="15"/>
      <c r="J6" s="15"/>
      <c r="K6" s="15"/>
      <c r="L6" s="15"/>
      <c r="M6" s="15"/>
      <c r="N6" s="15"/>
      <c r="O6" s="15"/>
    </row>
    <row r="7" spans="1:17" ht="15.75" x14ac:dyDescent="0.25">
      <c r="A7" s="18" t="s">
        <v>286</v>
      </c>
      <c r="B7" s="15"/>
      <c r="C7" s="15"/>
      <c r="D7" s="15"/>
      <c r="E7" s="15"/>
      <c r="F7" s="15"/>
      <c r="G7" s="15"/>
      <c r="H7" s="15"/>
      <c r="I7" s="15"/>
      <c r="J7" s="15"/>
      <c r="K7" s="15"/>
      <c r="L7" s="15"/>
      <c r="M7" s="15"/>
      <c r="N7" s="15"/>
      <c r="O7" s="15"/>
    </row>
    <row r="8" spans="1:17" x14ac:dyDescent="0.25">
      <c r="A8" s="18"/>
      <c r="B8" s="15"/>
      <c r="C8" s="15"/>
      <c r="D8" s="15"/>
      <c r="E8" s="15"/>
      <c r="F8" s="15"/>
      <c r="G8" s="15"/>
      <c r="H8" s="15"/>
      <c r="I8" s="15"/>
      <c r="J8" s="15"/>
      <c r="K8" s="15"/>
      <c r="L8" s="15"/>
      <c r="M8" s="15"/>
      <c r="N8" s="15"/>
      <c r="O8" s="15"/>
    </row>
    <row r="9" spans="1:17" x14ac:dyDescent="0.25">
      <c r="A9" s="46" t="s">
        <v>308</v>
      </c>
      <c r="B9" s="47" t="s">
        <v>5</v>
      </c>
      <c r="C9" s="15"/>
      <c r="D9" s="15"/>
      <c r="E9" s="15"/>
      <c r="F9" s="15"/>
      <c r="G9" s="15"/>
      <c r="H9" s="15"/>
      <c r="I9" s="15"/>
      <c r="J9" s="15"/>
      <c r="K9" s="15"/>
      <c r="L9" s="15"/>
      <c r="M9" s="15"/>
      <c r="N9" s="15"/>
      <c r="O9" s="15"/>
    </row>
    <row r="10" spans="1:17" x14ac:dyDescent="0.25">
      <c r="A10" s="15"/>
      <c r="B10" s="15"/>
      <c r="C10" s="15"/>
      <c r="D10" s="15"/>
      <c r="E10" s="17"/>
      <c r="F10" s="17"/>
      <c r="G10" s="16"/>
      <c r="H10" s="15"/>
      <c r="I10" s="15"/>
      <c r="J10" s="15"/>
      <c r="K10" s="15"/>
      <c r="L10" s="15"/>
      <c r="M10" s="17"/>
      <c r="N10" s="17"/>
      <c r="O10" s="15"/>
    </row>
    <row r="11" spans="1:17" ht="64.5" x14ac:dyDescent="0.25">
      <c r="A11" s="46" t="s">
        <v>64</v>
      </c>
      <c r="B11" s="47" t="s">
        <v>400</v>
      </c>
      <c r="C11" s="47" t="s">
        <v>401</v>
      </c>
      <c r="D11" s="56" t="s">
        <v>278</v>
      </c>
      <c r="E11" s="56" t="s">
        <v>131</v>
      </c>
      <c r="F11" s="55" t="s">
        <v>282</v>
      </c>
      <c r="G11" s="56" t="s">
        <v>132</v>
      </c>
      <c r="H11" s="56" t="s">
        <v>279</v>
      </c>
      <c r="I11" s="55" t="s">
        <v>283</v>
      </c>
      <c r="J11" s="6" t="s">
        <v>133</v>
      </c>
      <c r="K11" s="61" t="s">
        <v>280</v>
      </c>
      <c r="L11" s="61" t="s">
        <v>134</v>
      </c>
      <c r="M11" s="61" t="s">
        <v>282</v>
      </c>
      <c r="N11" s="61" t="s">
        <v>135</v>
      </c>
      <c r="O11" s="61" t="s">
        <v>281</v>
      </c>
      <c r="P11" s="61" t="s">
        <v>284</v>
      </c>
      <c r="Q11" s="62" t="s">
        <v>136</v>
      </c>
    </row>
    <row r="12" spans="1:17" x14ac:dyDescent="0.25">
      <c r="A12" s="48" t="s">
        <v>72</v>
      </c>
      <c r="B12" s="12">
        <v>14272.664609897827</v>
      </c>
      <c r="C12" s="12">
        <v>2371.8108472040317</v>
      </c>
      <c r="D12" s="49">
        <v>19906.5</v>
      </c>
      <c r="E12" s="49">
        <f>H12*0.5</f>
        <v>1880.2</v>
      </c>
      <c r="F12" s="49">
        <f>E12-GETPIVOTDATA("Sum of TNReduction(lbs/yr)",$A$11,"LeadEntity","City of DeBary")</f>
        <v>-12392.464609897826</v>
      </c>
      <c r="G12" s="14">
        <f>(E12-F12)/E12</f>
        <v>7.5910353206562213</v>
      </c>
      <c r="H12" s="23">
        <v>3760.4</v>
      </c>
      <c r="I12" s="49">
        <f>H12-GETPIVOTDATA("Sum of TNReduction(lbs/yr)",$A$11,"LeadEntity","City of DeBary")</f>
        <v>-10512.264609897828</v>
      </c>
      <c r="J12" s="14">
        <f>(H12-I12)/H12</f>
        <v>3.7955176603281107</v>
      </c>
      <c r="K12" s="50">
        <v>3149</v>
      </c>
      <c r="L12" s="49">
        <f>O12*0.5</f>
        <v>86.4</v>
      </c>
      <c r="M12" s="49">
        <f>L12-GETPIVOTDATA("Sum of TPReduction(lbs/yr)",$A$11,"LeadEntity","City of DeBary")</f>
        <v>-2285.4108472040316</v>
      </c>
      <c r="N12" s="14">
        <f>(L12-M12)/L12</f>
        <v>27.451514435231847</v>
      </c>
      <c r="O12" s="51">
        <v>172.8</v>
      </c>
      <c r="P12" s="49">
        <f>O12-GETPIVOTDATA("Sum of TPReduction(lbs/yr)",$A$11,"LeadEntity","City of DeBary")</f>
        <v>-2199.0108472040315</v>
      </c>
      <c r="Q12" s="14">
        <f>(O12-P12)/O12</f>
        <v>13.725757217615923</v>
      </c>
    </row>
    <row r="13" spans="1:17" x14ac:dyDescent="0.25">
      <c r="A13" s="48" t="s">
        <v>73</v>
      </c>
      <c r="B13" s="12">
        <v>9.1</v>
      </c>
      <c r="C13" s="12">
        <v>0.7</v>
      </c>
      <c r="D13" s="49">
        <v>192</v>
      </c>
      <c r="E13" s="12" t="s">
        <v>1</v>
      </c>
      <c r="F13" s="12" t="s">
        <v>1</v>
      </c>
      <c r="G13" s="12" t="s">
        <v>1</v>
      </c>
      <c r="H13" s="12" t="s">
        <v>1</v>
      </c>
      <c r="I13" s="12" t="s">
        <v>1</v>
      </c>
      <c r="J13" s="12" t="s">
        <v>1</v>
      </c>
      <c r="K13" s="12">
        <v>14.8</v>
      </c>
      <c r="L13" s="12" t="s">
        <v>1</v>
      </c>
      <c r="M13" s="12" t="s">
        <v>1</v>
      </c>
      <c r="N13" s="12" t="s">
        <v>1</v>
      </c>
      <c r="O13" s="12" t="s">
        <v>1</v>
      </c>
      <c r="P13" s="12" t="s">
        <v>1</v>
      </c>
      <c r="Q13" s="12" t="s">
        <v>1</v>
      </c>
    </row>
    <row r="14" spans="1:17" x14ac:dyDescent="0.25">
      <c r="A14" s="48" t="s">
        <v>74</v>
      </c>
      <c r="B14" s="12">
        <v>8223.9082292324892</v>
      </c>
      <c r="C14" s="12">
        <v>1298.8841304178452</v>
      </c>
      <c r="D14" s="49">
        <v>25399.8</v>
      </c>
      <c r="E14" s="49">
        <f>H14*0.5</f>
        <v>3608.7</v>
      </c>
      <c r="F14" s="49">
        <f>E14-GETPIVOTDATA("Sum of TNReduction(lbs/yr)",$A$11,"LeadEntity","City of Deltona")</f>
        <v>-4615.2082292324894</v>
      </c>
      <c r="G14" s="14">
        <f t="shared" ref="G14:G21" si="0">(E14-F14)/E14</f>
        <v>2.278911582905891</v>
      </c>
      <c r="H14" s="23">
        <v>7217.4</v>
      </c>
      <c r="I14" s="49">
        <f>H14-GETPIVOTDATA("Sum of TNReduction(lbs/yr)",$A$11,"LeadEntity","City of Deltona")</f>
        <v>-1006.5082292324896</v>
      </c>
      <c r="J14" s="14">
        <f t="shared" ref="J14:J23" si="1">(H14-I14)/H14</f>
        <v>1.1394557914529455</v>
      </c>
      <c r="K14" s="52">
        <v>4128.2</v>
      </c>
      <c r="L14" s="49">
        <f>O14*0.5</f>
        <v>388.3</v>
      </c>
      <c r="M14" s="49">
        <f>L14-GETPIVOTDATA("Sum of TPReduction(lbs/yr)",$A$11,"LeadEntity","City of Deltona")</f>
        <v>-910.58413041784524</v>
      </c>
      <c r="N14" s="14">
        <f t="shared" ref="N14:N19" si="2">(L14-M14)/L14</f>
        <v>3.3450531301000392</v>
      </c>
      <c r="O14" s="12">
        <v>776.6</v>
      </c>
      <c r="P14" s="49">
        <f>O14-GETPIVOTDATA("Sum of TPReduction(lbs/yr)",$A$11,"LeadEntity","City of Deltona")</f>
        <v>-522.28413041784518</v>
      </c>
      <c r="Q14" s="14">
        <f>(O14-P14)/O14</f>
        <v>1.6725265650500196</v>
      </c>
    </row>
    <row r="15" spans="1:17" x14ac:dyDescent="0.25">
      <c r="A15" s="48" t="s">
        <v>75</v>
      </c>
      <c r="B15" s="12">
        <v>30.8</v>
      </c>
      <c r="C15" s="12">
        <v>4.5</v>
      </c>
      <c r="D15" s="49">
        <v>2052.4</v>
      </c>
      <c r="E15" s="12" t="s">
        <v>1</v>
      </c>
      <c r="F15" s="12" t="s">
        <v>1</v>
      </c>
      <c r="G15" s="12" t="s">
        <v>1</v>
      </c>
      <c r="H15" s="12" t="s">
        <v>1</v>
      </c>
      <c r="I15" s="12" t="s">
        <v>1</v>
      </c>
      <c r="J15" s="12" t="s">
        <v>1</v>
      </c>
      <c r="K15" s="12">
        <v>297</v>
      </c>
      <c r="L15" s="12" t="s">
        <v>1</v>
      </c>
      <c r="M15" s="12" t="s">
        <v>1</v>
      </c>
      <c r="N15" s="12" t="s">
        <v>1</v>
      </c>
      <c r="O15" s="12" t="s">
        <v>1</v>
      </c>
      <c r="P15" s="12" t="s">
        <v>1</v>
      </c>
      <c r="Q15" s="12" t="s">
        <v>1</v>
      </c>
    </row>
    <row r="16" spans="1:17" x14ac:dyDescent="0.25">
      <c r="A16" s="48" t="s">
        <v>76</v>
      </c>
      <c r="B16" s="12">
        <v>371.1</v>
      </c>
      <c r="C16" s="12">
        <v>58.6</v>
      </c>
      <c r="D16" s="49">
        <v>6572</v>
      </c>
      <c r="E16" s="12" t="s">
        <v>1</v>
      </c>
      <c r="F16" s="12" t="s">
        <v>1</v>
      </c>
      <c r="G16" s="12" t="s">
        <v>1</v>
      </c>
      <c r="H16" s="12" t="s">
        <v>1</v>
      </c>
      <c r="I16" s="12" t="s">
        <v>1</v>
      </c>
      <c r="J16" s="12" t="s">
        <v>1</v>
      </c>
      <c r="K16" s="51">
        <v>948.9</v>
      </c>
      <c r="L16" s="12" t="s">
        <v>1</v>
      </c>
      <c r="M16" s="12" t="s">
        <v>1</v>
      </c>
      <c r="N16" s="12" t="s">
        <v>1</v>
      </c>
      <c r="O16" s="12" t="s">
        <v>1</v>
      </c>
      <c r="P16" s="12" t="s">
        <v>1</v>
      </c>
      <c r="Q16" s="12" t="s">
        <v>1</v>
      </c>
    </row>
    <row r="17" spans="1:17" x14ac:dyDescent="0.25">
      <c r="A17" s="48" t="s">
        <v>137</v>
      </c>
      <c r="B17" s="12">
        <v>13</v>
      </c>
      <c r="C17" s="12">
        <v>4</v>
      </c>
      <c r="D17" s="49">
        <v>105.4</v>
      </c>
      <c r="E17" s="12" t="s">
        <v>1</v>
      </c>
      <c r="F17" s="12" t="s">
        <v>1</v>
      </c>
      <c r="G17" s="12" t="s">
        <v>1</v>
      </c>
      <c r="H17" s="12" t="s">
        <v>1</v>
      </c>
      <c r="I17" s="12" t="s">
        <v>1</v>
      </c>
      <c r="J17" s="12" t="s">
        <v>1</v>
      </c>
      <c r="K17" s="12">
        <v>16.600000000000001</v>
      </c>
      <c r="L17" s="12" t="s">
        <v>1</v>
      </c>
      <c r="M17" s="12" t="s">
        <v>1</v>
      </c>
      <c r="N17" s="12" t="s">
        <v>1</v>
      </c>
      <c r="O17" s="12" t="s">
        <v>1</v>
      </c>
      <c r="P17" s="12" t="s">
        <v>1</v>
      </c>
      <c r="Q17" s="12" t="s">
        <v>1</v>
      </c>
    </row>
    <row r="18" spans="1:17" x14ac:dyDescent="0.25">
      <c r="A18" s="48" t="s">
        <v>77</v>
      </c>
      <c r="B18" s="12">
        <v>14453.9</v>
      </c>
      <c r="C18" s="12">
        <v>5338.5</v>
      </c>
      <c r="D18" s="49">
        <v>41398.400000000001</v>
      </c>
      <c r="E18" s="49">
        <f>H18*0.5</f>
        <v>10360</v>
      </c>
      <c r="F18" s="49">
        <f>E18-GETPIVOTDATA("Sum of TNReduction(lbs/yr)",$A$11,"LeadEntity","City of Sanford")</f>
        <v>-4093.8999999999996</v>
      </c>
      <c r="G18" s="14">
        <f t="shared" si="0"/>
        <v>1.3951640926640927</v>
      </c>
      <c r="H18" s="23">
        <v>20720</v>
      </c>
      <c r="I18" s="49">
        <f>H18-GETPIVOTDATA("Sum of TNReduction(lbs/yr)",$A$11,"LeadEntity","City of Sanford")</f>
        <v>6266.1</v>
      </c>
      <c r="J18" s="14">
        <f t="shared" si="1"/>
        <v>0.69758204633204635</v>
      </c>
      <c r="K18" s="52">
        <v>6490.8</v>
      </c>
      <c r="L18" s="49">
        <f>O18*0.5</f>
        <v>1339.55</v>
      </c>
      <c r="M18" s="49">
        <f>L18-GETPIVOTDATA("Sum of TPReduction(lbs/yr)",$A$11,"LeadEntity","City of Sanford")</f>
        <v>-3998.95</v>
      </c>
      <c r="N18" s="14">
        <f t="shared" si="2"/>
        <v>3.9852935687357696</v>
      </c>
      <c r="O18" s="12">
        <v>2679.1</v>
      </c>
      <c r="P18" s="49">
        <f>O18-GETPIVOTDATA("Sum of TPReduction(lbs/yr)",$A$11,"LeadEntity","City of Sanford")</f>
        <v>-2659.4</v>
      </c>
      <c r="Q18" s="14">
        <f>(O18-P18)/O18</f>
        <v>1.9926467843678848</v>
      </c>
    </row>
    <row r="19" spans="1:17" x14ac:dyDescent="0.25">
      <c r="A19" s="48" t="s">
        <v>178</v>
      </c>
      <c r="B19" s="12">
        <v>43228.6</v>
      </c>
      <c r="C19" s="12">
        <v>8121.4</v>
      </c>
      <c r="D19" s="49">
        <v>130168.2</v>
      </c>
      <c r="E19" s="49">
        <f>H19*0.5</f>
        <v>21141</v>
      </c>
      <c r="F19" s="49">
        <f>E19-GETPIVOTDATA("Sum of TNReduction(lbs/yr)",$A$11,"LeadEntity","FDACS")</f>
        <v>-22087.599999999999</v>
      </c>
      <c r="G19" s="14">
        <f t="shared" si="0"/>
        <v>2.0447755546095263</v>
      </c>
      <c r="H19" s="23">
        <v>42282</v>
      </c>
      <c r="I19" s="49">
        <f>H19-GETPIVOTDATA("Sum of TNReduction(lbs/yr)",$A$11,"LeadEntity","FDACS")</f>
        <v>-946.59999999999854</v>
      </c>
      <c r="J19" s="14">
        <f t="shared" si="1"/>
        <v>1.0223877773047632</v>
      </c>
      <c r="K19" s="50">
        <v>29970</v>
      </c>
      <c r="L19" s="12">
        <f>O19*0.5</f>
        <v>6885.1</v>
      </c>
      <c r="M19" s="12">
        <f>L19-GETPIVOTDATA("Sum of TPReduction(lbs/yr)",$A$11,"LeadEntity","FDACS")</f>
        <v>-1236.2999999999993</v>
      </c>
      <c r="N19" s="14">
        <f t="shared" si="2"/>
        <v>1.1795616621399834</v>
      </c>
      <c r="O19" s="49">
        <v>13770.2</v>
      </c>
      <c r="P19" s="12">
        <f>O19-GETPIVOTDATA("Sum of TPReduction(lbs/yr)",$A$11,"LeadEntity","FDACS")</f>
        <v>5648.8000000000011</v>
      </c>
      <c r="Q19" s="14">
        <f>(O19-P19)/O19</f>
        <v>0.58978083106999168</v>
      </c>
    </row>
    <row r="20" spans="1:17" x14ac:dyDescent="0.25">
      <c r="A20" s="48" t="s">
        <v>290</v>
      </c>
      <c r="B20" s="12">
        <v>3071.8999999999996</v>
      </c>
      <c r="C20" s="12">
        <v>615.39999999999986</v>
      </c>
      <c r="D20" s="49">
        <v>10112</v>
      </c>
      <c r="E20" s="49">
        <f>H20*0.5</f>
        <v>1232</v>
      </c>
      <c r="F20" s="49">
        <f>E20-GETPIVOTDATA("Sum of TNReduction(lbs/yr)",$A$11,"LeadEntity","FDOT District 5")</f>
        <v>-1839.8999999999996</v>
      </c>
      <c r="G20" s="14">
        <f t="shared" si="0"/>
        <v>2.4934253246753242</v>
      </c>
      <c r="H20" s="23">
        <v>2464</v>
      </c>
      <c r="I20" s="49">
        <f>H20-GETPIVOTDATA("Sum of TNReduction(lbs/yr)",$A$11,"LeadEntity","FDOT District 5")</f>
        <v>-607.89999999999964</v>
      </c>
      <c r="J20" s="14">
        <f t="shared" si="1"/>
        <v>1.2467126623376621</v>
      </c>
      <c r="K20" s="52">
        <v>1325</v>
      </c>
      <c r="L20" s="49" t="s">
        <v>1</v>
      </c>
      <c r="M20" s="49" t="s">
        <v>1</v>
      </c>
      <c r="N20" s="14" t="s">
        <v>1</v>
      </c>
      <c r="O20" s="12" t="s">
        <v>1</v>
      </c>
      <c r="P20" s="49" t="s">
        <v>1</v>
      </c>
      <c r="Q20" s="14" t="s">
        <v>1</v>
      </c>
    </row>
    <row r="21" spans="1:17" x14ac:dyDescent="0.25">
      <c r="A21" s="48" t="s">
        <v>60</v>
      </c>
      <c r="B21" s="12">
        <v>7812.8</v>
      </c>
      <c r="C21" s="12">
        <v>1940.8999999999999</v>
      </c>
      <c r="D21" s="49">
        <v>34105</v>
      </c>
      <c r="E21" s="49">
        <f>H21*0.5</f>
        <v>3973.5</v>
      </c>
      <c r="F21" s="49">
        <f>E21-GETPIVOTDATA("Sum of TNReduction(lbs/yr)",$A$11,"LeadEntity","Seminole County")</f>
        <v>-3839.3</v>
      </c>
      <c r="G21" s="14">
        <f t="shared" si="0"/>
        <v>1.9662262488989557</v>
      </c>
      <c r="H21" s="23">
        <v>7947</v>
      </c>
      <c r="I21" s="49">
        <f>H21-GETPIVOTDATA("Sum of TNReduction(lbs/yr)",$A$11,"LeadEntity","Seminole County")</f>
        <v>134.19999999999982</v>
      </c>
      <c r="J21" s="14">
        <f t="shared" si="1"/>
        <v>0.98311312444947785</v>
      </c>
      <c r="K21" s="50">
        <v>5133</v>
      </c>
      <c r="L21" s="12">
        <f>O21*0.5</f>
        <v>155.44999999999999</v>
      </c>
      <c r="M21" s="12">
        <f>O21-GETPIVOTDATA("Sum of TPReduction(lbs/yr)",$A$11,"LeadEntity","Seminole County")</f>
        <v>-1630</v>
      </c>
      <c r="N21" s="14">
        <f>(L21-M21)/L21</f>
        <v>11.48568671598585</v>
      </c>
      <c r="O21" s="12">
        <v>310.89999999999998</v>
      </c>
      <c r="P21" s="12">
        <f>O21-GETPIVOTDATA("Sum of TPReduction(lbs/yr)",$A$11,"LeadEntity","Seminole County")</f>
        <v>-1630</v>
      </c>
      <c r="Q21" s="14">
        <f>(O21-P21)/O21</f>
        <v>6.2428433579929248</v>
      </c>
    </row>
    <row r="22" spans="1:17" s="54" customFormat="1" x14ac:dyDescent="0.25">
      <c r="A22" s="48" t="s">
        <v>202</v>
      </c>
      <c r="B22" s="12">
        <v>53</v>
      </c>
      <c r="C22" s="12">
        <v>34</v>
      </c>
      <c r="D22" s="49">
        <v>1240</v>
      </c>
      <c r="E22" s="49" t="s">
        <v>1</v>
      </c>
      <c r="F22" s="49" t="s">
        <v>1</v>
      </c>
      <c r="G22" s="14" t="s">
        <v>1</v>
      </c>
      <c r="H22" s="49" t="s">
        <v>1</v>
      </c>
      <c r="I22" s="49" t="s">
        <v>1</v>
      </c>
      <c r="J22" s="14" t="s">
        <v>1</v>
      </c>
      <c r="K22" s="52">
        <v>109</v>
      </c>
      <c r="L22" s="49" t="s">
        <v>1</v>
      </c>
      <c r="M22" s="49" t="s">
        <v>1</v>
      </c>
      <c r="N22" s="14" t="s">
        <v>1</v>
      </c>
      <c r="O22" s="49" t="s">
        <v>1</v>
      </c>
      <c r="P22" s="49" t="s">
        <v>1</v>
      </c>
      <c r="Q22" s="14" t="s">
        <v>1</v>
      </c>
    </row>
    <row r="23" spans="1:17" s="19" customFormat="1" x14ac:dyDescent="0.25">
      <c r="A23" s="48" t="s">
        <v>61</v>
      </c>
      <c r="B23" s="12">
        <v>6133.1</v>
      </c>
      <c r="C23" s="12">
        <v>2869.3</v>
      </c>
      <c r="D23" s="49">
        <v>26512</v>
      </c>
      <c r="E23" s="12">
        <f>H23*0.5</f>
        <v>1633</v>
      </c>
      <c r="F23" s="12">
        <f>E23-GETPIVOTDATA("Sum of TNReduction(lbs/yr)",$A$11,"LeadEntity","Volusia County")</f>
        <v>-4500.1000000000004</v>
      </c>
      <c r="G23" s="14">
        <f>(E23-F23)/E23</f>
        <v>3.755725658297612</v>
      </c>
      <c r="H23" s="12">
        <v>3266</v>
      </c>
      <c r="I23" s="12">
        <f>H23-GETPIVOTDATA("Sum of TNReduction(lbs/yr)",$A$11,"LeadEntity","Volusia County")</f>
        <v>-2867.1000000000004</v>
      </c>
      <c r="J23" s="14">
        <f t="shared" si="1"/>
        <v>1.877862829148806</v>
      </c>
      <c r="K23" s="12">
        <v>3829</v>
      </c>
      <c r="L23" s="12" t="s">
        <v>1</v>
      </c>
      <c r="M23" s="12" t="s">
        <v>1</v>
      </c>
      <c r="N23" s="14" t="s">
        <v>1</v>
      </c>
      <c r="O23" s="14" t="s">
        <v>1</v>
      </c>
      <c r="P23" s="14" t="s">
        <v>1</v>
      </c>
      <c r="Q23" s="14" t="s">
        <v>1</v>
      </c>
    </row>
    <row r="24" spans="1:17" s="15" customFormat="1" ht="12.75" x14ac:dyDescent="0.2">
      <c r="A24" s="57" t="s">
        <v>65</v>
      </c>
      <c r="B24" s="58">
        <v>97673.872839130316</v>
      </c>
      <c r="C24" s="58">
        <v>22657.994977621878</v>
      </c>
      <c r="D24" s="55">
        <f>SUM(D12:D23)</f>
        <v>297763.7</v>
      </c>
      <c r="E24" s="55">
        <f>SUM(E12:E23)</f>
        <v>43828.4</v>
      </c>
      <c r="F24" s="55">
        <f>SUM(F12:F23)</f>
        <v>-53368.472839130314</v>
      </c>
      <c r="G24" s="59">
        <f>GETPIVOTDATA("Sum of TNReduction(lbs/yr)",$A$11)/E24</f>
        <v>2.2285520995320458</v>
      </c>
      <c r="H24" s="55">
        <f>SUM(H12:H23)</f>
        <v>87656.8</v>
      </c>
      <c r="I24" s="55">
        <f>SUM(I12:I23)</f>
        <v>-9540.0728391303164</v>
      </c>
      <c r="J24" s="77">
        <f>GETPIVOTDATA("Sum of TNReduction(lbs/yr)",$A$11)/H24</f>
        <v>1.1142760497660229</v>
      </c>
      <c r="K24" s="55">
        <f>SUM(K12:K23)</f>
        <v>55411.3</v>
      </c>
      <c r="L24" s="55">
        <f>SUM(L12:L23)</f>
        <v>8854.8000000000011</v>
      </c>
      <c r="M24" s="55">
        <f>SUM(M12:M23)</f>
        <v>-10061.244977621876</v>
      </c>
      <c r="N24" s="59">
        <f>GETPIVOTDATA("Sum of TPReduction(lbs/yr)",$A$11)/L24</f>
        <v>2.5588375770906033</v>
      </c>
      <c r="O24" s="55">
        <f>SUM(O12:O23)</f>
        <v>17709.600000000002</v>
      </c>
      <c r="P24" s="60">
        <f>SUM(P12:P23)</f>
        <v>-1361.894977621876</v>
      </c>
      <c r="Q24" s="77">
        <f>GETPIVOTDATA("Sum of TPReduction(lbs/yr)",$A$11)/O24</f>
        <v>1.2794187885453017</v>
      </c>
    </row>
    <row r="25" spans="1:17" s="15" customFormat="1" x14ac:dyDescent="0.25">
      <c r="A25"/>
      <c r="B25"/>
      <c r="C25"/>
      <c r="D25" s="4"/>
      <c r="E25" s="53"/>
      <c r="F25" s="4"/>
      <c r="G25" s="4"/>
      <c r="H25" s="4"/>
      <c r="I25" s="4"/>
      <c r="J25" s="4"/>
      <c r="K25" s="4"/>
      <c r="L25" s="4"/>
      <c r="M25" s="4"/>
      <c r="N25" s="4"/>
      <c r="O25" s="4"/>
    </row>
    <row r="26" spans="1:17" s="15" customFormat="1" x14ac:dyDescent="0.25">
      <c r="A26"/>
      <c r="B26"/>
      <c r="C26"/>
      <c r="D26" s="4"/>
      <c r="E26" s="53"/>
      <c r="F26" s="53"/>
      <c r="G26" s="4"/>
      <c r="H26" s="4"/>
      <c r="I26" s="4"/>
      <c r="J26" s="4"/>
      <c r="K26" s="4"/>
      <c r="L26" s="5"/>
      <c r="M26" s="4"/>
      <c r="N26" s="5"/>
      <c r="O26" s="4"/>
    </row>
    <row r="27" spans="1:17" s="15" customFormat="1" x14ac:dyDescent="0.25">
      <c r="A27" s="43" t="s">
        <v>163</v>
      </c>
      <c r="B27" s="9" t="s">
        <v>220</v>
      </c>
      <c r="C27"/>
      <c r="D27"/>
      <c r="E27"/>
      <c r="F27" s="4"/>
      <c r="G27" s="4"/>
      <c r="H27" s="4"/>
      <c r="I27" s="4"/>
      <c r="J27" s="4"/>
      <c r="K27" s="4"/>
      <c r="L27" s="4"/>
      <c r="M27" s="5"/>
      <c r="N27" s="4"/>
      <c r="O27" s="5"/>
    </row>
    <row r="28" spans="1:17" s="15" customFormat="1" x14ac:dyDescent="0.25">
      <c r="A28"/>
      <c r="B28"/>
      <c r="C28"/>
      <c r="D28"/>
      <c r="E28"/>
      <c r="F28" s="4"/>
      <c r="G28" s="4"/>
      <c r="H28" s="4"/>
      <c r="I28" s="4"/>
      <c r="J28" s="4"/>
      <c r="K28" s="4"/>
      <c r="L28" s="4"/>
      <c r="M28" s="4"/>
      <c r="N28" s="4"/>
      <c r="O28" s="4"/>
    </row>
    <row r="29" spans="1:17" s="15" customFormat="1" x14ac:dyDescent="0.25">
      <c r="A29" s="43" t="s">
        <v>402</v>
      </c>
      <c r="B29" s="43" t="s">
        <v>166</v>
      </c>
      <c r="C29" s="9"/>
      <c r="D29" s="9"/>
      <c r="E29" s="9"/>
      <c r="F29"/>
      <c r="G29"/>
      <c r="H29"/>
      <c r="I29"/>
      <c r="J29"/>
      <c r="K29"/>
      <c r="L29"/>
      <c r="M29"/>
      <c r="N29"/>
      <c r="O29"/>
    </row>
    <row r="30" spans="1:17" s="15" customFormat="1" x14ac:dyDescent="0.25">
      <c r="A30" s="43" t="s">
        <v>64</v>
      </c>
      <c r="B30" s="9" t="s">
        <v>5</v>
      </c>
      <c r="C30" s="9" t="s">
        <v>188</v>
      </c>
      <c r="D30" s="9" t="s">
        <v>3</v>
      </c>
      <c r="E30" s="11" t="s">
        <v>65</v>
      </c>
      <c r="F30"/>
      <c r="G30" s="7"/>
      <c r="H30" s="7"/>
      <c r="I30" s="7"/>
      <c r="J30" s="7"/>
      <c r="K30" s="7"/>
      <c r="L30" s="7"/>
      <c r="M30" s="7"/>
      <c r="N30" s="7"/>
      <c r="O30" s="7"/>
      <c r="P30" s="78"/>
      <c r="Q30" s="78"/>
    </row>
    <row r="31" spans="1:17" s="15" customFormat="1" x14ac:dyDescent="0.25">
      <c r="A31" s="10" t="s">
        <v>72</v>
      </c>
      <c r="B31" s="75">
        <v>6</v>
      </c>
      <c r="C31" s="75"/>
      <c r="D31" s="75"/>
      <c r="E31" s="75">
        <v>6</v>
      </c>
      <c r="F31"/>
      <c r="G31"/>
      <c r="H31"/>
      <c r="I31"/>
      <c r="J31"/>
      <c r="K31"/>
      <c r="L31"/>
      <c r="M31"/>
      <c r="N31"/>
      <c r="O31"/>
    </row>
    <row r="32" spans="1:17" s="4" customFormat="1" x14ac:dyDescent="0.25">
      <c r="A32" s="10" t="s">
        <v>73</v>
      </c>
      <c r="B32" s="75">
        <v>1</v>
      </c>
      <c r="C32" s="75"/>
      <c r="D32" s="75"/>
      <c r="E32" s="75">
        <v>1</v>
      </c>
      <c r="F32"/>
      <c r="G32"/>
      <c r="H32"/>
      <c r="I32"/>
      <c r="J32"/>
      <c r="K32"/>
      <c r="L32"/>
      <c r="M32"/>
      <c r="N32"/>
      <c r="O32"/>
    </row>
    <row r="33" spans="1:15" s="4" customFormat="1" x14ac:dyDescent="0.25">
      <c r="A33" s="10" t="s">
        <v>74</v>
      </c>
      <c r="B33" s="75">
        <v>9</v>
      </c>
      <c r="C33" s="75">
        <v>5</v>
      </c>
      <c r="D33" s="75"/>
      <c r="E33" s="75">
        <v>14</v>
      </c>
      <c r="F33"/>
      <c r="G33"/>
      <c r="H33"/>
      <c r="I33"/>
      <c r="J33"/>
      <c r="K33"/>
      <c r="L33"/>
      <c r="M33"/>
      <c r="N33"/>
      <c r="O33"/>
    </row>
    <row r="34" spans="1:15" s="4" customFormat="1" x14ac:dyDescent="0.25">
      <c r="A34" s="10" t="s">
        <v>75</v>
      </c>
      <c r="B34" s="75">
        <v>3</v>
      </c>
      <c r="C34" s="75"/>
      <c r="D34" s="75">
        <v>1</v>
      </c>
      <c r="E34" s="75">
        <v>4</v>
      </c>
      <c r="F34"/>
      <c r="G34"/>
      <c r="H34"/>
      <c r="I34"/>
      <c r="J34"/>
      <c r="K34"/>
      <c r="L34"/>
      <c r="M34"/>
      <c r="N34"/>
      <c r="O34"/>
    </row>
    <row r="35" spans="1:15" s="4" customFormat="1" x14ac:dyDescent="0.25">
      <c r="A35" s="10" t="s">
        <v>76</v>
      </c>
      <c r="B35" s="75">
        <v>2</v>
      </c>
      <c r="C35" s="75"/>
      <c r="D35" s="75"/>
      <c r="E35" s="75">
        <v>2</v>
      </c>
      <c r="F35"/>
      <c r="G35"/>
      <c r="H35"/>
      <c r="I35"/>
      <c r="J35"/>
      <c r="K35"/>
      <c r="L35"/>
      <c r="M35"/>
      <c r="N35"/>
      <c r="O35"/>
    </row>
    <row r="36" spans="1:15" s="4" customFormat="1" x14ac:dyDescent="0.25">
      <c r="A36" s="10" t="s">
        <v>137</v>
      </c>
      <c r="B36" s="75">
        <v>2</v>
      </c>
      <c r="C36" s="75"/>
      <c r="D36" s="75"/>
      <c r="E36" s="75">
        <v>2</v>
      </c>
      <c r="F36"/>
      <c r="G36"/>
      <c r="H36"/>
      <c r="I36"/>
      <c r="J36"/>
      <c r="K36"/>
      <c r="L36"/>
      <c r="M36"/>
      <c r="N36"/>
      <c r="O36"/>
    </row>
    <row r="37" spans="1:15" s="4" customFormat="1" x14ac:dyDescent="0.25">
      <c r="A37" s="10" t="s">
        <v>77</v>
      </c>
      <c r="B37" s="75">
        <v>7</v>
      </c>
      <c r="C37" s="75"/>
      <c r="D37" s="75">
        <v>1</v>
      </c>
      <c r="E37" s="75">
        <v>8</v>
      </c>
      <c r="F37"/>
      <c r="G37"/>
      <c r="H37"/>
      <c r="I37"/>
      <c r="J37"/>
      <c r="K37"/>
      <c r="L37"/>
      <c r="M37"/>
      <c r="N37"/>
      <c r="O37"/>
    </row>
    <row r="38" spans="1:15" s="4" customFormat="1" x14ac:dyDescent="0.25">
      <c r="A38" s="10" t="s">
        <v>178</v>
      </c>
      <c r="B38" s="75">
        <v>7</v>
      </c>
      <c r="C38" s="75"/>
      <c r="D38" s="75"/>
      <c r="E38" s="75">
        <v>7</v>
      </c>
      <c r="F38"/>
      <c r="G38"/>
      <c r="H38"/>
      <c r="I38"/>
      <c r="J38"/>
      <c r="K38"/>
      <c r="L38"/>
      <c r="M38"/>
      <c r="N38"/>
      <c r="O38"/>
    </row>
    <row r="39" spans="1:15" s="4" customFormat="1" x14ac:dyDescent="0.25">
      <c r="A39" s="10" t="s">
        <v>290</v>
      </c>
      <c r="B39" s="75">
        <v>46</v>
      </c>
      <c r="C39" s="75"/>
      <c r="D39" s="75">
        <v>1</v>
      </c>
      <c r="E39" s="75">
        <v>47</v>
      </c>
      <c r="F39"/>
      <c r="G39"/>
      <c r="H39"/>
      <c r="I39"/>
      <c r="J39"/>
      <c r="K39"/>
      <c r="L39"/>
      <c r="M39"/>
      <c r="N39"/>
      <c r="O39"/>
    </row>
    <row r="40" spans="1:15" s="4" customFormat="1" x14ac:dyDescent="0.25">
      <c r="A40" s="10" t="s">
        <v>60</v>
      </c>
      <c r="B40" s="75">
        <v>8</v>
      </c>
      <c r="C40" s="75"/>
      <c r="D40" s="75"/>
      <c r="E40" s="75">
        <v>8</v>
      </c>
      <c r="F40"/>
      <c r="G40"/>
      <c r="H40"/>
      <c r="I40"/>
      <c r="J40"/>
      <c r="K40"/>
      <c r="L40"/>
      <c r="M40"/>
      <c r="N40"/>
      <c r="O40"/>
    </row>
    <row r="41" spans="1:15" s="4" customFormat="1" x14ac:dyDescent="0.25">
      <c r="A41" s="10" t="s">
        <v>202</v>
      </c>
      <c r="B41" s="75">
        <v>2</v>
      </c>
      <c r="C41" s="75"/>
      <c r="D41" s="75"/>
      <c r="E41" s="75">
        <v>2</v>
      </c>
      <c r="F41"/>
      <c r="G41"/>
      <c r="H41"/>
      <c r="I41"/>
      <c r="J41"/>
      <c r="K41"/>
      <c r="L41"/>
      <c r="M41"/>
      <c r="N41"/>
      <c r="O41"/>
    </row>
    <row r="42" spans="1:15" s="4" customFormat="1" x14ac:dyDescent="0.25">
      <c r="A42" s="10" t="s">
        <v>61</v>
      </c>
      <c r="B42" s="75">
        <v>9</v>
      </c>
      <c r="C42" s="75">
        <v>1</v>
      </c>
      <c r="D42" s="75"/>
      <c r="E42" s="75">
        <v>10</v>
      </c>
      <c r="F42"/>
      <c r="G42"/>
      <c r="H42"/>
      <c r="I42"/>
      <c r="J42"/>
      <c r="K42"/>
      <c r="L42"/>
      <c r="M42"/>
      <c r="N42"/>
      <c r="O42"/>
    </row>
    <row r="43" spans="1:15" s="4" customFormat="1" x14ac:dyDescent="0.25">
      <c r="A43" s="11" t="s">
        <v>65</v>
      </c>
      <c r="B43" s="75">
        <v>102</v>
      </c>
      <c r="C43" s="75">
        <v>6</v>
      </c>
      <c r="D43" s="75">
        <v>3</v>
      </c>
      <c r="E43" s="75">
        <v>111</v>
      </c>
      <c r="F43"/>
      <c r="G43"/>
      <c r="H43"/>
      <c r="I43"/>
      <c r="J43"/>
      <c r="K43"/>
      <c r="L43"/>
      <c r="M43"/>
      <c r="N43"/>
      <c r="O43"/>
    </row>
    <row r="44" spans="1:15" s="4" customFormat="1" x14ac:dyDescent="0.25">
      <c r="A44"/>
      <c r="B44"/>
      <c r="C44"/>
      <c r="D44"/>
      <c r="E44"/>
      <c r="F44"/>
      <c r="G44"/>
      <c r="H44"/>
      <c r="I44"/>
      <c r="J44"/>
      <c r="K44"/>
      <c r="L44"/>
      <c r="M44"/>
      <c r="N44"/>
      <c r="O44"/>
    </row>
    <row r="45" spans="1:15" s="4" customFormat="1" x14ac:dyDescent="0.25">
      <c r="A45"/>
      <c r="B45"/>
      <c r="C45"/>
      <c r="D45"/>
      <c r="E45"/>
      <c r="F45"/>
      <c r="G45"/>
      <c r="H45"/>
      <c r="I45"/>
      <c r="J45"/>
      <c r="K45"/>
      <c r="L45"/>
      <c r="M45"/>
      <c r="N45"/>
      <c r="O45"/>
    </row>
    <row r="46" spans="1:15" s="4" customFormat="1" x14ac:dyDescent="0.25">
      <c r="A46"/>
      <c r="B46"/>
      <c r="C46"/>
      <c r="D46"/>
      <c r="E46"/>
      <c r="F46"/>
      <c r="G46"/>
      <c r="H46"/>
      <c r="I46"/>
      <c r="J46"/>
      <c r="K46"/>
      <c r="L46"/>
      <c r="M46"/>
      <c r="N46"/>
      <c r="O46"/>
    </row>
    <row r="47" spans="1:15" s="4" customFormat="1" x14ac:dyDescent="0.25">
      <c r="A47"/>
      <c r="B47"/>
      <c r="C47"/>
      <c r="D47"/>
      <c r="E47"/>
      <c r="F47"/>
      <c r="G47"/>
      <c r="H47"/>
      <c r="I47"/>
      <c r="J47"/>
      <c r="K47"/>
      <c r="L47"/>
      <c r="M47"/>
      <c r="N47"/>
      <c r="O47"/>
    </row>
    <row r="48" spans="1:15" s="4" customFormat="1" x14ac:dyDescent="0.25">
      <c r="A48"/>
      <c r="B48"/>
      <c r="C48"/>
      <c r="D48"/>
      <c r="E48"/>
      <c r="F48"/>
      <c r="G48"/>
      <c r="H48"/>
      <c r="I48"/>
      <c r="J48"/>
      <c r="K48"/>
      <c r="L48"/>
      <c r="M48"/>
      <c r="N48"/>
      <c r="O48"/>
    </row>
    <row r="49" spans="1:15" s="4" customFormat="1" x14ac:dyDescent="0.25">
      <c r="A49"/>
      <c r="B49"/>
      <c r="C49"/>
      <c r="D49"/>
      <c r="E49"/>
      <c r="F49"/>
      <c r="G49"/>
      <c r="H49"/>
      <c r="I49"/>
      <c r="J49"/>
      <c r="K49"/>
      <c r="L49"/>
      <c r="M49"/>
      <c r="N49"/>
      <c r="O49"/>
    </row>
  </sheetData>
  <conditionalFormatting sqref="G12 G14 J12 J14 G18:G23 J18:J23">
    <cfRule type="cellIs" dxfId="36" priority="9" stopIfTrue="1" operator="lessThan">
      <formula>1</formula>
    </cfRule>
  </conditionalFormatting>
  <conditionalFormatting sqref="G12 G14 J12 J14 N12 N14 Q12 Q14 G18:G23 J18:J23 N18:N23 Q18:Q23 O23:P23">
    <cfRule type="cellIs" dxfId="35" priority="5" operator="lessThan">
      <formula>1</formula>
    </cfRule>
  </conditionalFormatting>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8"/>
  <sheetViews>
    <sheetView workbookViewId="0">
      <selection activeCell="N18" sqref="N18"/>
    </sheetView>
  </sheetViews>
  <sheetFormatPr defaultRowHeight="15" x14ac:dyDescent="0.25"/>
  <cols>
    <col min="1" max="1" width="19.42578125" style="45" bestFit="1" customWidth="1"/>
    <col min="2" max="2" width="23" style="45" bestFit="1" customWidth="1"/>
    <col min="3" max="3" width="26.140625" style="13" bestFit="1" customWidth="1"/>
    <col min="4" max="4" width="25.85546875" style="13" bestFit="1" customWidth="1"/>
    <col min="5" max="5" width="21" bestFit="1" customWidth="1"/>
    <col min="6" max="23" width="5" bestFit="1" customWidth="1"/>
    <col min="24" max="24" width="4.5703125" bestFit="1" customWidth="1"/>
    <col min="25" max="25" width="12.7109375" bestFit="1" customWidth="1"/>
    <col min="26" max="26" width="11.28515625" bestFit="1" customWidth="1"/>
  </cols>
  <sheetData>
    <row r="1" spans="1:8" x14ac:dyDescent="0.25">
      <c r="A1" s="44" t="s">
        <v>308</v>
      </c>
      <c r="B1" s="45" t="s">
        <v>5</v>
      </c>
    </row>
    <row r="3" spans="1:8" x14ac:dyDescent="0.25">
      <c r="A3" s="45" t="s">
        <v>398</v>
      </c>
      <c r="B3" s="45" t="s">
        <v>399</v>
      </c>
      <c r="C3" s="45" t="s">
        <v>400</v>
      </c>
      <c r="D3" s="45" t="s">
        <v>401</v>
      </c>
      <c r="E3" s="45" t="s">
        <v>402</v>
      </c>
    </row>
    <row r="4" spans="1:8" x14ac:dyDescent="0.25">
      <c r="A4" s="45">
        <v>34478443</v>
      </c>
      <c r="B4" s="45">
        <v>553239</v>
      </c>
      <c r="C4" s="70">
        <v>105089.67283913033</v>
      </c>
      <c r="D4" s="70">
        <v>23926.294977621877</v>
      </c>
      <c r="E4" s="74">
        <v>102</v>
      </c>
    </row>
    <row r="6" spans="1:8" x14ac:dyDescent="0.25">
      <c r="A6" s="44" t="s">
        <v>308</v>
      </c>
      <c r="B6" s="45" t="s">
        <v>220</v>
      </c>
    </row>
    <row r="8" spans="1:8" x14ac:dyDescent="0.25">
      <c r="A8" s="45" t="s">
        <v>398</v>
      </c>
      <c r="B8" s="45" t="s">
        <v>399</v>
      </c>
      <c r="C8" s="45" t="s">
        <v>400</v>
      </c>
      <c r="D8" s="45" t="s">
        <v>401</v>
      </c>
      <c r="F8" s="7"/>
      <c r="G8" s="7"/>
      <c r="H8" s="7"/>
    </row>
    <row r="9" spans="1:8" x14ac:dyDescent="0.25">
      <c r="A9" s="45">
        <v>31266354</v>
      </c>
      <c r="B9" s="45">
        <v>119000</v>
      </c>
      <c r="C9" s="69">
        <v>10051.905999999999</v>
      </c>
      <c r="D9" s="69">
        <v>763.44600000000014</v>
      </c>
    </row>
    <row r="11" spans="1:8" x14ac:dyDescent="0.25">
      <c r="A11" s="114" t="s">
        <v>479</v>
      </c>
      <c r="B11" s="114"/>
    </row>
    <row r="12" spans="1:8" x14ac:dyDescent="0.25">
      <c r="A12" s="7" t="s">
        <v>308</v>
      </c>
      <c r="B12" t="s">
        <v>220</v>
      </c>
    </row>
    <row r="13" spans="1:8" x14ac:dyDescent="0.25">
      <c r="A13"/>
      <c r="B13"/>
    </row>
    <row r="14" spans="1:8" x14ac:dyDescent="0.25">
      <c r="A14" s="7" t="s">
        <v>64</v>
      </c>
      <c r="B14" t="s">
        <v>224</v>
      </c>
    </row>
    <row r="15" spans="1:8" x14ac:dyDescent="0.25">
      <c r="A15" s="8">
        <v>2012</v>
      </c>
      <c r="B15" s="74">
        <v>75</v>
      </c>
      <c r="C15"/>
    </row>
    <row r="16" spans="1:8" x14ac:dyDescent="0.25">
      <c r="A16" s="8">
        <v>2013</v>
      </c>
      <c r="B16" s="74">
        <v>1</v>
      </c>
      <c r="C16"/>
    </row>
    <row r="17" spans="1:4" x14ac:dyDescent="0.25">
      <c r="A17" s="8">
        <v>2014</v>
      </c>
      <c r="B17" s="74">
        <v>4</v>
      </c>
      <c r="C17"/>
    </row>
    <row r="18" spans="1:4" x14ac:dyDescent="0.25">
      <c r="A18" s="8">
        <v>2015</v>
      </c>
      <c r="B18" s="74">
        <v>3</v>
      </c>
      <c r="C18"/>
    </row>
    <row r="19" spans="1:4" x14ac:dyDescent="0.25">
      <c r="A19" s="8">
        <v>2016</v>
      </c>
      <c r="B19" s="74">
        <v>5</v>
      </c>
      <c r="C19"/>
    </row>
    <row r="20" spans="1:4" x14ac:dyDescent="0.25">
      <c r="A20" s="8">
        <v>2017</v>
      </c>
      <c r="B20" s="74">
        <v>8</v>
      </c>
      <c r="C20"/>
    </row>
    <row r="21" spans="1:4" x14ac:dyDescent="0.25">
      <c r="A21" s="8">
        <v>2018</v>
      </c>
      <c r="B21" s="74">
        <v>4</v>
      </c>
      <c r="C21"/>
    </row>
    <row r="22" spans="1:4" x14ac:dyDescent="0.25">
      <c r="A22" s="8">
        <v>2019</v>
      </c>
      <c r="B22" s="74">
        <v>11</v>
      </c>
      <c r="C22"/>
    </row>
    <row r="23" spans="1:4" x14ac:dyDescent="0.25">
      <c r="A23" s="8" t="s">
        <v>65</v>
      </c>
      <c r="B23" s="74">
        <v>111</v>
      </c>
      <c r="C23"/>
    </row>
    <row r="24" spans="1:4" x14ac:dyDescent="0.25">
      <c r="A24"/>
      <c r="B24"/>
      <c r="C24"/>
    </row>
    <row r="25" spans="1:4" x14ac:dyDescent="0.25">
      <c r="A25" s="45" t="s">
        <v>480</v>
      </c>
      <c r="C25"/>
    </row>
    <row r="26" spans="1:4" x14ac:dyDescent="0.25">
      <c r="A26" s="7" t="s">
        <v>402</v>
      </c>
      <c r="B26" s="7" t="s">
        <v>166</v>
      </c>
      <c r="C26"/>
      <c r="D26"/>
    </row>
    <row r="27" spans="1:4" x14ac:dyDescent="0.25">
      <c r="A27" s="7" t="s">
        <v>64</v>
      </c>
      <c r="B27">
        <v>2019</v>
      </c>
      <c r="C27" t="s">
        <v>145</v>
      </c>
      <c r="D27" t="s">
        <v>65</v>
      </c>
    </row>
    <row r="28" spans="1:4" x14ac:dyDescent="0.25">
      <c r="A28" s="8" t="s">
        <v>5</v>
      </c>
      <c r="B28" s="74">
        <v>3</v>
      </c>
      <c r="C28" s="74">
        <v>28</v>
      </c>
      <c r="D28" s="74">
        <v>31</v>
      </c>
    </row>
    <row r="29" spans="1:4" x14ac:dyDescent="0.25">
      <c r="A29" s="8" t="s">
        <v>65</v>
      </c>
      <c r="B29" s="74">
        <v>3</v>
      </c>
      <c r="C29" s="74">
        <v>28</v>
      </c>
      <c r="D29" s="74">
        <v>31</v>
      </c>
    </row>
    <row r="30" spans="1:4" x14ac:dyDescent="0.25">
      <c r="A30"/>
      <c r="B30"/>
      <c r="C30"/>
      <c r="D30"/>
    </row>
    <row r="31" spans="1:4" x14ac:dyDescent="0.25">
      <c r="A31"/>
      <c r="B31"/>
      <c r="C31"/>
      <c r="D31"/>
    </row>
    <row r="32" spans="1:4" x14ac:dyDescent="0.25">
      <c r="A32"/>
      <c r="B32"/>
      <c r="C32"/>
    </row>
    <row r="33" spans="1:3" x14ac:dyDescent="0.25">
      <c r="A33"/>
      <c r="B33"/>
      <c r="C33"/>
    </row>
    <row r="34" spans="1:3" x14ac:dyDescent="0.25">
      <c r="A34" s="7" t="s">
        <v>64</v>
      </c>
      <c r="B34" t="s">
        <v>452</v>
      </c>
      <c r="C34"/>
    </row>
    <row r="35" spans="1:3" x14ac:dyDescent="0.25">
      <c r="A35" s="8" t="s">
        <v>173</v>
      </c>
      <c r="B35" s="74">
        <v>5</v>
      </c>
      <c r="C35"/>
    </row>
    <row r="36" spans="1:3" x14ac:dyDescent="0.25">
      <c r="A36" s="8" t="s">
        <v>170</v>
      </c>
      <c r="B36" s="74">
        <v>1</v>
      </c>
      <c r="C36"/>
    </row>
    <row r="37" spans="1:3" x14ac:dyDescent="0.25">
      <c r="A37" s="8" t="s">
        <v>299</v>
      </c>
      <c r="B37" s="74">
        <v>3</v>
      </c>
      <c r="C37"/>
    </row>
    <row r="38" spans="1:3" x14ac:dyDescent="0.25">
      <c r="A38" s="8" t="s">
        <v>176</v>
      </c>
      <c r="B38" s="74">
        <v>11</v>
      </c>
      <c r="C38"/>
    </row>
    <row r="39" spans="1:3" x14ac:dyDescent="0.25">
      <c r="A39" s="8" t="s">
        <v>302</v>
      </c>
      <c r="B39" s="74">
        <v>3</v>
      </c>
      <c r="C39"/>
    </row>
    <row r="40" spans="1:3" x14ac:dyDescent="0.25">
      <c r="A40" s="8" t="s">
        <v>167</v>
      </c>
      <c r="B40" s="74">
        <v>1</v>
      </c>
      <c r="C40"/>
    </row>
    <row r="41" spans="1:3" x14ac:dyDescent="0.25">
      <c r="A41" s="8" t="s">
        <v>338</v>
      </c>
      <c r="B41" s="74">
        <v>1</v>
      </c>
      <c r="C41"/>
    </row>
    <row r="42" spans="1:3" x14ac:dyDescent="0.25">
      <c r="A42" s="8" t="s">
        <v>4</v>
      </c>
      <c r="B42" s="74">
        <v>11</v>
      </c>
      <c r="C42"/>
    </row>
    <row r="43" spans="1:3" x14ac:dyDescent="0.25">
      <c r="A43" s="8" t="s">
        <v>298</v>
      </c>
      <c r="B43" s="74">
        <v>2</v>
      </c>
      <c r="C43"/>
    </row>
    <row r="44" spans="1:3" x14ac:dyDescent="0.25">
      <c r="A44" s="8" t="s">
        <v>149</v>
      </c>
      <c r="B44" s="74">
        <v>1</v>
      </c>
      <c r="C44"/>
    </row>
    <row r="45" spans="1:3" x14ac:dyDescent="0.25">
      <c r="A45" s="8" t="s">
        <v>171</v>
      </c>
      <c r="B45" s="74">
        <v>1</v>
      </c>
      <c r="C45"/>
    </row>
    <row r="46" spans="1:3" x14ac:dyDescent="0.25">
      <c r="A46" s="8" t="s">
        <v>361</v>
      </c>
      <c r="B46" s="74">
        <v>1</v>
      </c>
      <c r="C46"/>
    </row>
    <row r="47" spans="1:3" x14ac:dyDescent="0.25">
      <c r="A47" s="8" t="s">
        <v>186</v>
      </c>
      <c r="B47" s="74">
        <v>1</v>
      </c>
      <c r="C47"/>
    </row>
    <row r="48" spans="1:3" x14ac:dyDescent="0.25">
      <c r="A48" s="8" t="s">
        <v>172</v>
      </c>
      <c r="B48" s="74">
        <v>6</v>
      </c>
      <c r="C48"/>
    </row>
    <row r="49" spans="1:3" x14ac:dyDescent="0.25">
      <c r="A49" s="8" t="s">
        <v>168</v>
      </c>
      <c r="B49" s="74">
        <v>5</v>
      </c>
      <c r="C49"/>
    </row>
    <row r="50" spans="1:3" x14ac:dyDescent="0.25">
      <c r="A50" s="8" t="s">
        <v>369</v>
      </c>
      <c r="B50" s="74">
        <v>1</v>
      </c>
      <c r="C50"/>
    </row>
    <row r="51" spans="1:3" x14ac:dyDescent="0.25">
      <c r="A51" s="8" t="s">
        <v>184</v>
      </c>
      <c r="B51" s="74">
        <v>3</v>
      </c>
      <c r="C51"/>
    </row>
    <row r="52" spans="1:3" x14ac:dyDescent="0.25">
      <c r="A52" s="8" t="s">
        <v>377</v>
      </c>
      <c r="B52" s="74">
        <v>4</v>
      </c>
    </row>
    <row r="53" spans="1:3" x14ac:dyDescent="0.25">
      <c r="A53" s="8" t="s">
        <v>41</v>
      </c>
      <c r="B53" s="74">
        <v>6</v>
      </c>
    </row>
    <row r="54" spans="1:3" x14ac:dyDescent="0.25">
      <c r="A54" s="8" t="s">
        <v>175</v>
      </c>
      <c r="B54" s="74">
        <v>43</v>
      </c>
    </row>
    <row r="55" spans="1:3" x14ac:dyDescent="0.25">
      <c r="A55" s="8" t="s">
        <v>194</v>
      </c>
      <c r="B55" s="74">
        <v>1</v>
      </c>
    </row>
    <row r="56" spans="1:3" x14ac:dyDescent="0.25">
      <c r="A56" s="8" t="s">
        <v>65</v>
      </c>
      <c r="B56" s="74">
        <v>111</v>
      </c>
    </row>
    <row r="57" spans="1:3" x14ac:dyDescent="0.25">
      <c r="A57"/>
      <c r="B57"/>
    </row>
    <row r="58" spans="1:3" x14ac:dyDescent="0.25">
      <c r="A58"/>
      <c r="B5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ED6FC-C293-479C-8EC6-129FE54E4CF6}">
  <dimension ref="A1:I45"/>
  <sheetViews>
    <sheetView workbookViewId="0">
      <selection activeCell="W13" sqref="W13"/>
    </sheetView>
  </sheetViews>
  <sheetFormatPr defaultRowHeight="15" x14ac:dyDescent="0.25"/>
  <cols>
    <col min="1" max="1" width="13.140625" bestFit="1" customWidth="1"/>
    <col min="2" max="2" width="26.140625" style="13" bestFit="1" customWidth="1"/>
    <col min="3" max="3" width="25.85546875" style="13" bestFit="1" customWidth="1"/>
    <col min="7" max="7" width="12.7109375" customWidth="1"/>
    <col min="8" max="8" width="14" customWidth="1"/>
    <col min="9" max="9" width="19.7109375" bestFit="1" customWidth="1"/>
  </cols>
  <sheetData>
    <row r="1" spans="1:9" ht="30" x14ac:dyDescent="0.25">
      <c r="A1" s="7" t="s">
        <v>308</v>
      </c>
      <c r="B1" s="13" t="s">
        <v>5</v>
      </c>
      <c r="F1" s="9" t="s">
        <v>403</v>
      </c>
      <c r="G1" s="71" t="s">
        <v>405</v>
      </c>
      <c r="H1" s="71" t="s">
        <v>404</v>
      </c>
      <c r="I1" s="76" t="s">
        <v>485</v>
      </c>
    </row>
    <row r="2" spans="1:9" x14ac:dyDescent="0.25">
      <c r="F2" s="9">
        <v>2012</v>
      </c>
      <c r="G2" s="73">
        <f>SUM(B4:B11)+GETPIVOTDATA("Sum of TNReduction(lbs/yr)",$A$3,"EstimatedCompletionDate","N/A")</f>
        <v>74474.564609897832</v>
      </c>
      <c r="H2" s="72"/>
      <c r="I2" s="73">
        <v>87656</v>
      </c>
    </row>
    <row r="3" spans="1:9" x14ac:dyDescent="0.25">
      <c r="A3" s="7" t="s">
        <v>64</v>
      </c>
      <c r="B3" s="13" t="s">
        <v>400</v>
      </c>
      <c r="C3" s="13" t="s">
        <v>401</v>
      </c>
      <c r="F3" s="9">
        <v>2013</v>
      </c>
      <c r="G3" s="73">
        <f>G2+GETPIVOTDATA("Sum of TNReduction(lbs/yr)",$A$3,"EstimatedCompletionDate",2013)</f>
        <v>79193.364609897835</v>
      </c>
      <c r="H3" s="72"/>
      <c r="I3" s="73">
        <v>87656</v>
      </c>
    </row>
    <row r="4" spans="1:9" x14ac:dyDescent="0.25">
      <c r="A4" s="8">
        <v>1997</v>
      </c>
      <c r="B4" s="13">
        <v>9</v>
      </c>
      <c r="C4" s="13">
        <v>6.7</v>
      </c>
      <c r="F4" s="9">
        <v>2014</v>
      </c>
      <c r="G4" s="73">
        <f>G3+GETPIVOTDATA("Sum of TNReduction(lbs/yr)",$A$3,"EstimatedCompletionDate",2014)</f>
        <v>82940.464609897841</v>
      </c>
      <c r="H4" s="72"/>
      <c r="I4" s="73">
        <v>87656</v>
      </c>
    </row>
    <row r="5" spans="1:9" x14ac:dyDescent="0.25">
      <c r="A5" s="8">
        <v>2004</v>
      </c>
      <c r="B5" s="13">
        <v>1972.8999999999999</v>
      </c>
      <c r="C5" s="13">
        <v>534.70000000000005</v>
      </c>
      <c r="F5" s="9">
        <v>2015</v>
      </c>
      <c r="G5" s="73">
        <f>G4+GETPIVOTDATA("Sum of TNReduction(lbs/yr)",$A$3,"EstimatedCompletionDate",2015)</f>
        <v>91197.964609897841</v>
      </c>
      <c r="H5" s="72"/>
      <c r="I5" s="73">
        <v>87656</v>
      </c>
    </row>
    <row r="6" spans="1:9" x14ac:dyDescent="0.25">
      <c r="A6" s="8">
        <v>2006</v>
      </c>
      <c r="B6" s="13">
        <v>138.80000000000001</v>
      </c>
      <c r="C6" s="13">
        <v>32.700000000000003</v>
      </c>
      <c r="F6" s="9">
        <v>2016</v>
      </c>
      <c r="G6" s="73">
        <f>G5+GETPIVOTDATA("Sum of TNReduction(lbs/yr)",$A$3,"EstimatedCompletionDate",2016)</f>
        <v>102955.36460989784</v>
      </c>
      <c r="H6" s="72"/>
      <c r="I6" s="73">
        <v>87656</v>
      </c>
    </row>
    <row r="7" spans="1:9" x14ac:dyDescent="0.25">
      <c r="A7" s="8">
        <v>2007</v>
      </c>
      <c r="B7" s="13">
        <v>7239.4</v>
      </c>
      <c r="C7" s="13">
        <v>1975.5</v>
      </c>
      <c r="F7" s="9">
        <v>2017</v>
      </c>
      <c r="G7" s="73">
        <f>G6</f>
        <v>102955.36460989784</v>
      </c>
      <c r="H7" s="73">
        <v>43828</v>
      </c>
      <c r="I7" s="73">
        <v>87656</v>
      </c>
    </row>
    <row r="8" spans="1:9" x14ac:dyDescent="0.25">
      <c r="A8" s="8">
        <v>2008</v>
      </c>
      <c r="B8" s="13">
        <v>87.3</v>
      </c>
      <c r="C8" s="13">
        <v>18.3</v>
      </c>
      <c r="F8" s="9">
        <v>2018</v>
      </c>
      <c r="G8" s="73">
        <f>G7+GETPIVOTDATA("Sum of TNReduction(lbs/yr)",$A$3,"EstimatedCompletionDate","2018")</f>
        <v>103991.36460989784</v>
      </c>
      <c r="H8" s="72"/>
      <c r="I8" s="73">
        <v>87656</v>
      </c>
    </row>
    <row r="9" spans="1:9" x14ac:dyDescent="0.25">
      <c r="A9" s="8">
        <v>2009</v>
      </c>
      <c r="B9" s="13">
        <v>408.4</v>
      </c>
      <c r="C9" s="13">
        <v>118.4</v>
      </c>
      <c r="F9" s="9">
        <v>2019</v>
      </c>
      <c r="G9" s="73">
        <f>G8+GETPIVOTDATA("Sum of TNReduction(lbs/yr)",$A$3,"EstimatedCompletionDate",2019)</f>
        <v>105089.67283913032</v>
      </c>
      <c r="H9" s="72"/>
      <c r="I9" s="73">
        <v>87656</v>
      </c>
    </row>
    <row r="10" spans="1:9" x14ac:dyDescent="0.25">
      <c r="A10" s="8">
        <v>2011</v>
      </c>
      <c r="B10" s="13">
        <v>7.3</v>
      </c>
      <c r="C10" s="13">
        <v>1.2000000000000002</v>
      </c>
      <c r="F10" s="9">
        <v>2020</v>
      </c>
      <c r="G10" s="73"/>
      <c r="H10" s="72"/>
      <c r="I10" s="73">
        <v>87656</v>
      </c>
    </row>
    <row r="11" spans="1:9" x14ac:dyDescent="0.25">
      <c r="A11" s="8">
        <v>2012</v>
      </c>
      <c r="B11" s="13">
        <v>36417.700000000004</v>
      </c>
      <c r="C11" s="13">
        <v>6437.3</v>
      </c>
      <c r="F11" s="9">
        <v>2021</v>
      </c>
      <c r="G11" s="73"/>
      <c r="H11" s="72"/>
      <c r="I11" s="73">
        <v>87656</v>
      </c>
    </row>
    <row r="12" spans="1:9" x14ac:dyDescent="0.25">
      <c r="A12" s="8">
        <v>2013</v>
      </c>
      <c r="B12" s="13">
        <v>4718.8</v>
      </c>
      <c r="C12" s="13">
        <v>988.6</v>
      </c>
      <c r="F12" s="9">
        <v>2022</v>
      </c>
      <c r="G12" s="73"/>
      <c r="H12" s="72"/>
      <c r="I12" s="73">
        <v>87656</v>
      </c>
    </row>
    <row r="13" spans="1:9" x14ac:dyDescent="0.25">
      <c r="A13" s="8">
        <v>2014</v>
      </c>
      <c r="B13" s="13">
        <v>3747.1</v>
      </c>
      <c r="C13" s="13">
        <v>684.9</v>
      </c>
      <c r="F13" s="9">
        <v>2023</v>
      </c>
      <c r="G13" s="73"/>
      <c r="H13" s="72"/>
      <c r="I13" s="73">
        <v>87656</v>
      </c>
    </row>
    <row r="14" spans="1:9" x14ac:dyDescent="0.25">
      <c r="A14" s="8">
        <v>2015</v>
      </c>
      <c r="B14" s="13">
        <v>8257.5</v>
      </c>
      <c r="C14" s="13">
        <v>1539.3</v>
      </c>
      <c r="F14" s="9">
        <v>2024</v>
      </c>
      <c r="G14" s="73"/>
      <c r="H14" s="72"/>
      <c r="I14" s="73">
        <v>87656</v>
      </c>
    </row>
    <row r="15" spans="1:9" x14ac:dyDescent="0.25">
      <c r="A15" s="8">
        <v>2016</v>
      </c>
      <c r="B15" s="13">
        <v>11757.4</v>
      </c>
      <c r="C15" s="13">
        <v>1945.6000000000001</v>
      </c>
      <c r="F15" s="9">
        <v>2025</v>
      </c>
      <c r="G15" s="73"/>
      <c r="H15" s="72"/>
      <c r="I15" s="73">
        <v>87656</v>
      </c>
    </row>
    <row r="16" spans="1:9" x14ac:dyDescent="0.25">
      <c r="A16" s="8">
        <v>2019</v>
      </c>
      <c r="B16" s="13">
        <v>1098.3082292324891</v>
      </c>
      <c r="C16" s="13">
        <v>75.284130417844978</v>
      </c>
      <c r="F16" s="9">
        <v>2026</v>
      </c>
      <c r="G16" s="73"/>
      <c r="H16" s="72"/>
      <c r="I16" s="73">
        <v>87656</v>
      </c>
    </row>
    <row r="17" spans="1:9" x14ac:dyDescent="0.25">
      <c r="A17" s="8" t="s">
        <v>145</v>
      </c>
      <c r="B17" s="13">
        <v>28193.764609897829</v>
      </c>
      <c r="C17" s="13">
        <v>9359.8108472040312</v>
      </c>
      <c r="F17" s="9">
        <v>2027</v>
      </c>
      <c r="G17" s="73"/>
      <c r="H17" s="72"/>
      <c r="I17" s="73">
        <v>87656</v>
      </c>
    </row>
    <row r="18" spans="1:9" x14ac:dyDescent="0.25">
      <c r="A18" s="8" t="s">
        <v>436</v>
      </c>
      <c r="B18" s="13">
        <v>1036</v>
      </c>
      <c r="C18" s="13">
        <v>208</v>
      </c>
      <c r="F18" s="9">
        <v>2028</v>
      </c>
      <c r="G18" s="73"/>
      <c r="H18" s="72"/>
      <c r="I18" s="73">
        <v>87656</v>
      </c>
    </row>
    <row r="19" spans="1:9" x14ac:dyDescent="0.25">
      <c r="A19" s="8" t="s">
        <v>468</v>
      </c>
      <c r="B19" s="13">
        <v>0</v>
      </c>
      <c r="C19" s="13">
        <v>0</v>
      </c>
      <c r="F19" s="9">
        <v>2029</v>
      </c>
      <c r="G19" s="73"/>
      <c r="H19" s="72"/>
      <c r="I19" s="73">
        <v>87656</v>
      </c>
    </row>
    <row r="20" spans="1:9" x14ac:dyDescent="0.25">
      <c r="A20" s="8" t="s">
        <v>65</v>
      </c>
      <c r="B20" s="13">
        <v>105089.67283913032</v>
      </c>
      <c r="C20" s="13">
        <v>23926.294977621877</v>
      </c>
      <c r="F20" s="9">
        <v>2030</v>
      </c>
      <c r="G20" s="73"/>
      <c r="H20" s="72"/>
      <c r="I20" s="73">
        <v>87656</v>
      </c>
    </row>
    <row r="21" spans="1:9" x14ac:dyDescent="0.25">
      <c r="B21"/>
      <c r="C21"/>
      <c r="F21" s="9">
        <v>2031</v>
      </c>
      <c r="G21" s="73"/>
      <c r="H21" s="72"/>
      <c r="I21" s="73">
        <v>87656</v>
      </c>
    </row>
    <row r="22" spans="1:9" x14ac:dyDescent="0.25">
      <c r="F22" s="9">
        <v>2032</v>
      </c>
      <c r="G22" s="73"/>
      <c r="H22" s="72"/>
      <c r="I22" s="73">
        <v>87656</v>
      </c>
    </row>
    <row r="24" spans="1:9" ht="30" x14ac:dyDescent="0.25">
      <c r="F24" s="9" t="s">
        <v>403</v>
      </c>
      <c r="G24" s="71" t="s">
        <v>406</v>
      </c>
      <c r="H24" s="71" t="s">
        <v>404</v>
      </c>
      <c r="I24" s="73" t="s">
        <v>485</v>
      </c>
    </row>
    <row r="25" spans="1:9" x14ac:dyDescent="0.25">
      <c r="F25" s="9">
        <v>2012</v>
      </c>
      <c r="G25" s="73">
        <f>SUM(C4:C11)+GETPIVOTDATA("Sum of TPReduction(lbs/yr)",$A$3,"EstimatedCompletionDate","N/A")</f>
        <v>18484.610847204032</v>
      </c>
      <c r="H25" s="72"/>
      <c r="I25" s="73">
        <v>17710</v>
      </c>
    </row>
    <row r="26" spans="1:9" x14ac:dyDescent="0.25">
      <c r="F26" s="9">
        <v>2013</v>
      </c>
      <c r="G26" s="73">
        <f>G25+GETPIVOTDATA("Sum of TPReduction(lbs/yr)",$A$3,"EstimatedCompletionDate",2013)</f>
        <v>19473.210847204031</v>
      </c>
      <c r="H26" s="72"/>
      <c r="I26" s="73">
        <v>17710</v>
      </c>
    </row>
    <row r="27" spans="1:9" x14ac:dyDescent="0.25">
      <c r="F27" s="9">
        <v>2014</v>
      </c>
      <c r="G27" s="73">
        <f>G26+GETPIVOTDATA("Sum of TPReduction(lbs/yr)",$A$3,"EstimatedCompletionDate",2014)</f>
        <v>20158.110847204032</v>
      </c>
      <c r="H27" s="72"/>
      <c r="I27" s="73">
        <v>17710</v>
      </c>
    </row>
    <row r="28" spans="1:9" x14ac:dyDescent="0.25">
      <c r="F28" s="9">
        <v>2015</v>
      </c>
      <c r="G28" s="73">
        <f>G27+GETPIVOTDATA("Sum of TPReduction(lbs/yr)",$A$3,"EstimatedCompletionDate",2015)</f>
        <v>21697.410847204032</v>
      </c>
      <c r="H28" s="72"/>
      <c r="I28" s="73">
        <v>17710</v>
      </c>
    </row>
    <row r="29" spans="1:9" x14ac:dyDescent="0.25">
      <c r="F29" s="9">
        <v>2016</v>
      </c>
      <c r="G29" s="73">
        <f>G28+GETPIVOTDATA("Sum of TPReduction(lbs/yr)",$A$3,"EstimatedCompletionDate",2016)</f>
        <v>23643.01084720403</v>
      </c>
      <c r="H29" s="72"/>
      <c r="I29" s="73">
        <v>17710</v>
      </c>
    </row>
    <row r="30" spans="1:9" x14ac:dyDescent="0.25">
      <c r="F30" s="9">
        <v>2017</v>
      </c>
      <c r="G30" s="73">
        <f>G29</f>
        <v>23643.01084720403</v>
      </c>
      <c r="H30" s="73">
        <v>8582</v>
      </c>
      <c r="I30" s="73">
        <v>17710</v>
      </c>
    </row>
    <row r="31" spans="1:9" x14ac:dyDescent="0.25">
      <c r="F31" s="9">
        <v>2018</v>
      </c>
      <c r="G31" s="73">
        <f>G30+GETPIVOTDATA("Sum of TPReduction(lbs/yr)",$A$3,"EstimatedCompletionDate","2018")</f>
        <v>23851.01084720403</v>
      </c>
      <c r="H31" s="72"/>
      <c r="I31" s="73">
        <v>17710</v>
      </c>
    </row>
    <row r="32" spans="1:9" x14ac:dyDescent="0.25">
      <c r="F32" s="9">
        <v>2019</v>
      </c>
      <c r="G32" s="73">
        <f>G31+GETPIVOTDATA("Sum of TPReduction(lbs/yr)",$A$3,"EstimatedCompletionDate",2019)</f>
        <v>23926.294977621874</v>
      </c>
      <c r="H32" s="72"/>
      <c r="I32" s="73">
        <v>17710</v>
      </c>
    </row>
    <row r="33" spans="6:9" x14ac:dyDescent="0.25">
      <c r="F33" s="9">
        <v>2020</v>
      </c>
      <c r="G33" s="73"/>
      <c r="H33" s="72"/>
      <c r="I33" s="73">
        <v>17710</v>
      </c>
    </row>
    <row r="34" spans="6:9" x14ac:dyDescent="0.25">
      <c r="F34" s="9">
        <v>2021</v>
      </c>
      <c r="G34" s="73"/>
      <c r="H34" s="72"/>
      <c r="I34" s="73">
        <v>17710</v>
      </c>
    </row>
    <row r="35" spans="6:9" x14ac:dyDescent="0.25">
      <c r="F35" s="9">
        <v>2022</v>
      </c>
      <c r="G35" s="73"/>
      <c r="H35" s="72"/>
      <c r="I35" s="73">
        <v>17710</v>
      </c>
    </row>
    <row r="36" spans="6:9" x14ac:dyDescent="0.25">
      <c r="F36" s="9">
        <v>2023</v>
      </c>
      <c r="G36" s="73"/>
      <c r="H36" s="72"/>
      <c r="I36" s="73">
        <v>17710</v>
      </c>
    </row>
    <row r="37" spans="6:9" x14ac:dyDescent="0.25">
      <c r="F37" s="9">
        <v>2024</v>
      </c>
      <c r="G37" s="73"/>
      <c r="H37" s="72"/>
      <c r="I37" s="73">
        <v>17710</v>
      </c>
    </row>
    <row r="38" spans="6:9" x14ac:dyDescent="0.25">
      <c r="F38" s="9">
        <v>2025</v>
      </c>
      <c r="G38" s="73"/>
      <c r="H38" s="72"/>
      <c r="I38" s="73">
        <v>17710</v>
      </c>
    </row>
    <row r="39" spans="6:9" x14ac:dyDescent="0.25">
      <c r="F39" s="9">
        <v>2026</v>
      </c>
      <c r="G39" s="73"/>
      <c r="H39" s="72"/>
      <c r="I39" s="73">
        <v>17710</v>
      </c>
    </row>
    <row r="40" spans="6:9" x14ac:dyDescent="0.25">
      <c r="F40" s="9">
        <v>2027</v>
      </c>
      <c r="G40" s="73"/>
      <c r="H40" s="72"/>
      <c r="I40" s="73">
        <v>17710</v>
      </c>
    </row>
    <row r="41" spans="6:9" x14ac:dyDescent="0.25">
      <c r="F41" s="9">
        <v>2028</v>
      </c>
      <c r="G41" s="73"/>
      <c r="H41" s="72"/>
      <c r="I41" s="73">
        <v>17710</v>
      </c>
    </row>
    <row r="42" spans="6:9" x14ac:dyDescent="0.25">
      <c r="F42" s="9">
        <v>2029</v>
      </c>
      <c r="G42" s="73"/>
      <c r="H42" s="72"/>
      <c r="I42" s="73">
        <v>17710</v>
      </c>
    </row>
    <row r="43" spans="6:9" x14ac:dyDescent="0.25">
      <c r="F43" s="9">
        <v>2030</v>
      </c>
      <c r="G43" s="73"/>
      <c r="H43" s="72"/>
      <c r="I43" s="73">
        <v>17710</v>
      </c>
    </row>
    <row r="44" spans="6:9" x14ac:dyDescent="0.25">
      <c r="F44" s="9">
        <v>2031</v>
      </c>
      <c r="G44" s="73"/>
      <c r="H44" s="72"/>
      <c r="I44" s="73">
        <v>17710</v>
      </c>
    </row>
    <row r="45" spans="6:9" x14ac:dyDescent="0.25">
      <c r="F45" s="9">
        <v>2032</v>
      </c>
      <c r="G45" s="73"/>
      <c r="H45" s="72"/>
      <c r="I45" s="73">
        <v>17710</v>
      </c>
    </row>
  </sheetData>
  <pageMargins left="0.7" right="0.7" top="0.75" bottom="0.75" header="0.3" footer="0.3"/>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0AD9-B518-4D71-9A59-02ED0C7BA091}">
  <dimension ref="A1:N112"/>
  <sheetViews>
    <sheetView topLeftCell="C1" workbookViewId="0">
      <selection activeCell="L6" sqref="L6"/>
    </sheetView>
  </sheetViews>
  <sheetFormatPr defaultRowHeight="15" x14ac:dyDescent="0.25"/>
  <cols>
    <col min="1" max="1" width="20.42578125" style="15" customWidth="1"/>
    <col min="2" max="2" width="14.28515625" customWidth="1"/>
    <col min="4" max="4" width="41.140625" customWidth="1"/>
    <col min="5" max="5" width="53.140625" customWidth="1"/>
    <col min="11" max="11" width="13.140625" bestFit="1" customWidth="1"/>
    <col min="14" max="14" width="14.5703125" bestFit="1" customWidth="1"/>
  </cols>
  <sheetData>
    <row r="1" spans="1:14" ht="60" x14ac:dyDescent="0.25">
      <c r="A1" s="98" t="s">
        <v>307</v>
      </c>
      <c r="D1" s="100" t="s">
        <v>0</v>
      </c>
      <c r="E1" s="100" t="s">
        <v>318</v>
      </c>
      <c r="H1" s="122" t="s">
        <v>482</v>
      </c>
      <c r="K1" t="s">
        <v>484</v>
      </c>
      <c r="N1" t="s">
        <v>483</v>
      </c>
    </row>
    <row r="2" spans="1:14" ht="15.75" x14ac:dyDescent="0.25">
      <c r="A2" s="3" t="s">
        <v>172</v>
      </c>
      <c r="B2" t="str" cm="1">
        <f t="array" ref="B2:B22">VLOOKUP(A2:A22,$D$2:$E$92,2,FALSE)</f>
        <v>Non-structural</v>
      </c>
      <c r="D2" s="100" t="s">
        <v>319</v>
      </c>
      <c r="E2" s="100" t="s">
        <v>7</v>
      </c>
      <c r="H2">
        <f>MIN('Harney-Monroe All Projects'!A2:A112)</f>
        <v>2142</v>
      </c>
      <c r="K2" s="74">
        <v>285917</v>
      </c>
      <c r="N2" s="74">
        <v>111</v>
      </c>
    </row>
    <row r="3" spans="1:14" ht="25.5" x14ac:dyDescent="0.25">
      <c r="A3" s="1" t="s">
        <v>184</v>
      </c>
      <c r="B3" t="str">
        <v>Non-structural</v>
      </c>
      <c r="D3" s="100" t="s">
        <v>173</v>
      </c>
      <c r="E3" s="100" t="s">
        <v>320</v>
      </c>
      <c r="H3">
        <f>MAX('Harney-Monroe All Projects'!A2:A112)</f>
        <v>5254</v>
      </c>
    </row>
    <row r="4" spans="1:14" ht="15.75" x14ac:dyDescent="0.25">
      <c r="A4" s="1" t="s">
        <v>4</v>
      </c>
      <c r="B4" t="str">
        <v>Non-structural</v>
      </c>
      <c r="D4" s="100" t="s">
        <v>321</v>
      </c>
      <c r="E4" s="100" t="s">
        <v>7</v>
      </c>
    </row>
    <row r="5" spans="1:14" ht="25.5" x14ac:dyDescent="0.25">
      <c r="A5" s="81" t="s">
        <v>361</v>
      </c>
      <c r="B5" t="str">
        <v>Non-structural</v>
      </c>
      <c r="D5" s="100" t="s">
        <v>322</v>
      </c>
      <c r="E5" s="100" t="s">
        <v>2</v>
      </c>
    </row>
    <row r="6" spans="1:14" ht="31.5" x14ac:dyDescent="0.25">
      <c r="A6" s="81" t="s">
        <v>302</v>
      </c>
      <c r="B6" t="str">
        <v>Non-structural</v>
      </c>
      <c r="D6" s="100" t="s">
        <v>170</v>
      </c>
      <c r="E6" s="100" t="s">
        <v>7</v>
      </c>
    </row>
    <row r="7" spans="1:14" ht="15.75" x14ac:dyDescent="0.25">
      <c r="A7" s="1" t="s">
        <v>175</v>
      </c>
      <c r="B7" t="str">
        <v>Structural</v>
      </c>
      <c r="D7" s="100" t="s">
        <v>299</v>
      </c>
      <c r="E7" s="100" t="s">
        <v>7</v>
      </c>
    </row>
    <row r="8" spans="1:14" ht="31.5" x14ac:dyDescent="0.25">
      <c r="A8" s="1" t="s">
        <v>168</v>
      </c>
      <c r="B8" t="str">
        <v>Structural</v>
      </c>
      <c r="D8" s="100" t="s">
        <v>323</v>
      </c>
      <c r="E8" s="100" t="s">
        <v>466</v>
      </c>
    </row>
    <row r="9" spans="1:14" ht="15.75" x14ac:dyDescent="0.25">
      <c r="A9" s="1" t="s">
        <v>176</v>
      </c>
      <c r="B9" t="str">
        <v>Structural</v>
      </c>
      <c r="D9" s="100" t="s">
        <v>324</v>
      </c>
      <c r="E9" s="100" t="s">
        <v>7</v>
      </c>
    </row>
    <row r="10" spans="1:14" ht="25.5" x14ac:dyDescent="0.25">
      <c r="A10" s="3" t="s">
        <v>167</v>
      </c>
      <c r="B10" t="str">
        <v>Non-structural</v>
      </c>
      <c r="D10" s="100" t="s">
        <v>325</v>
      </c>
      <c r="E10" s="100" t="s">
        <v>7</v>
      </c>
    </row>
    <row r="11" spans="1:14" ht="15.75" x14ac:dyDescent="0.25">
      <c r="A11" s="82" t="s">
        <v>377</v>
      </c>
      <c r="B11" t="str">
        <v>Structural</v>
      </c>
      <c r="D11" s="100" t="s">
        <v>176</v>
      </c>
      <c r="E11" s="100" t="s">
        <v>7</v>
      </c>
    </row>
    <row r="12" spans="1:14" ht="25.5" x14ac:dyDescent="0.25">
      <c r="A12" s="3" t="s">
        <v>186</v>
      </c>
      <c r="B12" t="str">
        <v>Non-structural</v>
      </c>
      <c r="D12" s="100" t="s">
        <v>302</v>
      </c>
      <c r="E12" s="100" t="s">
        <v>2</v>
      </c>
    </row>
    <row r="13" spans="1:14" ht="15.75" x14ac:dyDescent="0.25">
      <c r="A13" s="82" t="s">
        <v>369</v>
      </c>
      <c r="B13" t="str">
        <v>Structural</v>
      </c>
      <c r="D13" s="100" t="s">
        <v>326</v>
      </c>
      <c r="E13" s="100" t="s">
        <v>7</v>
      </c>
    </row>
    <row r="14" spans="1:14" ht="15.75" x14ac:dyDescent="0.25">
      <c r="A14" s="3" t="s">
        <v>171</v>
      </c>
      <c r="B14" t="str">
        <v>Non-structural</v>
      </c>
      <c r="D14" s="100" t="s">
        <v>167</v>
      </c>
      <c r="E14" s="100" t="s">
        <v>2</v>
      </c>
    </row>
    <row r="15" spans="1:14" ht="15.75" x14ac:dyDescent="0.25">
      <c r="A15" s="3" t="s">
        <v>173</v>
      </c>
      <c r="B15" t="str">
        <v>Use Past Designation</v>
      </c>
      <c r="D15" s="100" t="s">
        <v>327</v>
      </c>
      <c r="E15" s="100" t="s">
        <v>2</v>
      </c>
    </row>
    <row r="16" spans="1:14" ht="15.75" x14ac:dyDescent="0.25">
      <c r="A16" s="34" t="s">
        <v>338</v>
      </c>
      <c r="B16" t="str">
        <v>Structural</v>
      </c>
      <c r="D16" s="100" t="s">
        <v>328</v>
      </c>
      <c r="E16" s="100" t="s">
        <v>7</v>
      </c>
    </row>
    <row r="17" spans="1:5" ht="15.75" x14ac:dyDescent="0.25">
      <c r="A17" s="3" t="s">
        <v>41</v>
      </c>
      <c r="B17" t="str">
        <v>Non-structural</v>
      </c>
      <c r="D17" s="100" t="s">
        <v>329</v>
      </c>
      <c r="E17" s="100" t="s">
        <v>7</v>
      </c>
    </row>
    <row r="18" spans="1:5" ht="15.75" x14ac:dyDescent="0.25">
      <c r="A18" s="3" t="s">
        <v>149</v>
      </c>
      <c r="B18" t="str">
        <v>Non-structural</v>
      </c>
      <c r="D18" s="100" t="s">
        <v>330</v>
      </c>
      <c r="E18" s="100" t="s">
        <v>7</v>
      </c>
    </row>
    <row r="19" spans="1:5" ht="15.75" x14ac:dyDescent="0.25">
      <c r="A19" s="3" t="s">
        <v>298</v>
      </c>
      <c r="B19" t="str">
        <v>Structural</v>
      </c>
      <c r="D19" s="100" t="s">
        <v>331</v>
      </c>
      <c r="E19" s="100" t="s">
        <v>332</v>
      </c>
    </row>
    <row r="20" spans="1:5" ht="25.5" x14ac:dyDescent="0.25">
      <c r="A20" s="3" t="s">
        <v>299</v>
      </c>
      <c r="B20" t="str">
        <v>Structural</v>
      </c>
      <c r="D20" s="100" t="s">
        <v>333</v>
      </c>
      <c r="E20" s="100" t="s">
        <v>7</v>
      </c>
    </row>
    <row r="21" spans="1:5" ht="51" x14ac:dyDescent="0.25">
      <c r="A21" s="3" t="s">
        <v>170</v>
      </c>
      <c r="B21" t="str">
        <v>Structural</v>
      </c>
      <c r="D21" s="100" t="s">
        <v>334</v>
      </c>
      <c r="E21" s="100" t="s">
        <v>2</v>
      </c>
    </row>
    <row r="22" spans="1:5" ht="25.5" x14ac:dyDescent="0.25">
      <c r="A22" s="1" t="s">
        <v>194</v>
      </c>
      <c r="B22" t="str">
        <v>Structural</v>
      </c>
      <c r="D22" s="100" t="s">
        <v>335</v>
      </c>
      <c r="E22" s="100" t="s">
        <v>7</v>
      </c>
    </row>
    <row r="23" spans="1:5" ht="15.75" x14ac:dyDescent="0.25">
      <c r="A23"/>
      <c r="D23" s="100" t="s">
        <v>336</v>
      </c>
      <c r="E23" s="100" t="s">
        <v>7</v>
      </c>
    </row>
    <row r="24" spans="1:5" ht="15.75" x14ac:dyDescent="0.25">
      <c r="A24"/>
      <c r="D24" s="100" t="s">
        <v>337</v>
      </c>
      <c r="E24" s="100" t="s">
        <v>7</v>
      </c>
    </row>
    <row r="25" spans="1:5" ht="15.75" x14ac:dyDescent="0.25">
      <c r="A25"/>
      <c r="D25" s="100" t="s">
        <v>338</v>
      </c>
      <c r="E25" s="100" t="s">
        <v>7</v>
      </c>
    </row>
    <row r="26" spans="1:5" ht="15.75" x14ac:dyDescent="0.25">
      <c r="A26"/>
      <c r="D26" s="100" t="s">
        <v>4</v>
      </c>
      <c r="E26" s="100" t="s">
        <v>2</v>
      </c>
    </row>
    <row r="27" spans="1:5" ht="15.75" x14ac:dyDescent="0.25">
      <c r="A27"/>
      <c r="D27" s="100" t="s">
        <v>339</v>
      </c>
      <c r="E27" s="100" t="s">
        <v>2</v>
      </c>
    </row>
    <row r="28" spans="1:5" ht="15.75" x14ac:dyDescent="0.25">
      <c r="A28"/>
      <c r="D28" s="100" t="s">
        <v>298</v>
      </c>
      <c r="E28" s="100" t="s">
        <v>7</v>
      </c>
    </row>
    <row r="29" spans="1:5" ht="15.75" x14ac:dyDescent="0.25">
      <c r="A29"/>
      <c r="D29" s="100" t="s">
        <v>340</v>
      </c>
      <c r="E29" s="100" t="s">
        <v>2</v>
      </c>
    </row>
    <row r="30" spans="1:5" ht="15.75" x14ac:dyDescent="0.25">
      <c r="A30"/>
      <c r="D30" s="100" t="s">
        <v>149</v>
      </c>
      <c r="E30" s="100" t="s">
        <v>2</v>
      </c>
    </row>
    <row r="31" spans="1:5" ht="15.75" x14ac:dyDescent="0.25">
      <c r="A31"/>
      <c r="D31" s="100" t="s">
        <v>341</v>
      </c>
      <c r="E31" s="100" t="s">
        <v>2</v>
      </c>
    </row>
    <row r="32" spans="1:5" ht="15.75" x14ac:dyDescent="0.25">
      <c r="A32"/>
      <c r="D32" s="100" t="s">
        <v>342</v>
      </c>
      <c r="E32" s="100" t="s">
        <v>7</v>
      </c>
    </row>
    <row r="33" spans="1:5" ht="15.75" x14ac:dyDescent="0.25">
      <c r="A33"/>
      <c r="D33" s="100" t="s">
        <v>343</v>
      </c>
      <c r="E33" s="100" t="s">
        <v>2</v>
      </c>
    </row>
    <row r="34" spans="1:5" ht="31.5" x14ac:dyDescent="0.25">
      <c r="A34"/>
      <c r="D34" s="100" t="s">
        <v>344</v>
      </c>
      <c r="E34" s="100" t="s">
        <v>7</v>
      </c>
    </row>
    <row r="35" spans="1:5" ht="15.75" x14ac:dyDescent="0.25">
      <c r="A35"/>
      <c r="D35" s="100" t="s">
        <v>345</v>
      </c>
      <c r="E35" s="100" t="s">
        <v>7</v>
      </c>
    </row>
    <row r="36" spans="1:5" ht="15.75" x14ac:dyDescent="0.25">
      <c r="A36"/>
      <c r="D36" s="100" t="s">
        <v>346</v>
      </c>
      <c r="E36" s="100" t="s">
        <v>2</v>
      </c>
    </row>
    <row r="37" spans="1:5" ht="31.5" x14ac:dyDescent="0.25">
      <c r="A37"/>
      <c r="D37" s="100" t="s">
        <v>347</v>
      </c>
      <c r="E37" s="100" t="s">
        <v>7</v>
      </c>
    </row>
    <row r="38" spans="1:5" ht="31.5" x14ac:dyDescent="0.25">
      <c r="A38"/>
      <c r="D38" s="100" t="s">
        <v>348</v>
      </c>
      <c r="E38" s="100" t="s">
        <v>7</v>
      </c>
    </row>
    <row r="39" spans="1:5" ht="31.5" x14ac:dyDescent="0.25">
      <c r="A39"/>
      <c r="D39" s="100" t="s">
        <v>349</v>
      </c>
      <c r="E39" s="100" t="s">
        <v>7</v>
      </c>
    </row>
    <row r="40" spans="1:5" ht="15.75" x14ac:dyDescent="0.25">
      <c r="A40"/>
      <c r="D40" s="100" t="s">
        <v>350</v>
      </c>
      <c r="E40" s="100" t="s">
        <v>7</v>
      </c>
    </row>
    <row r="41" spans="1:5" ht="15.75" x14ac:dyDescent="0.25">
      <c r="A41"/>
      <c r="D41" s="100" t="s">
        <v>351</v>
      </c>
      <c r="E41" s="100" t="s">
        <v>7</v>
      </c>
    </row>
    <row r="42" spans="1:5" ht="15.75" x14ac:dyDescent="0.25">
      <c r="A42"/>
      <c r="D42" s="100" t="s">
        <v>352</v>
      </c>
      <c r="E42" s="100" t="s">
        <v>7</v>
      </c>
    </row>
    <row r="43" spans="1:5" ht="15.75" x14ac:dyDescent="0.25">
      <c r="A43"/>
      <c r="D43" s="100" t="s">
        <v>353</v>
      </c>
      <c r="E43" s="100" t="s">
        <v>7</v>
      </c>
    </row>
    <row r="44" spans="1:5" ht="15.75" x14ac:dyDescent="0.25">
      <c r="A44"/>
      <c r="D44" s="100" t="s">
        <v>354</v>
      </c>
      <c r="E44" s="100" t="s">
        <v>2</v>
      </c>
    </row>
    <row r="45" spans="1:5" ht="15.75" x14ac:dyDescent="0.25">
      <c r="A45"/>
      <c r="D45" s="100" t="s">
        <v>355</v>
      </c>
      <c r="E45" s="100" t="s">
        <v>2</v>
      </c>
    </row>
    <row r="46" spans="1:5" ht="15.75" x14ac:dyDescent="0.25">
      <c r="A46"/>
      <c r="D46" s="100" t="s">
        <v>171</v>
      </c>
      <c r="E46" s="100" t="s">
        <v>2</v>
      </c>
    </row>
    <row r="47" spans="1:5" ht="15.75" x14ac:dyDescent="0.25">
      <c r="A47"/>
      <c r="D47" s="100" t="s">
        <v>356</v>
      </c>
      <c r="E47" s="100" t="s">
        <v>7</v>
      </c>
    </row>
    <row r="48" spans="1:5" ht="15.75" x14ac:dyDescent="0.25">
      <c r="A48"/>
      <c r="D48" s="100" t="s">
        <v>357</v>
      </c>
      <c r="E48" s="100" t="s">
        <v>7</v>
      </c>
    </row>
    <row r="49" spans="1:5" ht="15.75" x14ac:dyDescent="0.25">
      <c r="A49"/>
      <c r="D49" s="100" t="s">
        <v>358</v>
      </c>
      <c r="E49" s="100" t="s">
        <v>7</v>
      </c>
    </row>
    <row r="50" spans="1:5" ht="15.75" x14ac:dyDescent="0.25">
      <c r="A50"/>
      <c r="D50" s="100" t="s">
        <v>359</v>
      </c>
      <c r="E50" s="100" t="s">
        <v>7</v>
      </c>
    </row>
    <row r="51" spans="1:5" ht="15.75" x14ac:dyDescent="0.25">
      <c r="A51"/>
      <c r="D51" s="100" t="s">
        <v>360</v>
      </c>
      <c r="E51" s="100" t="s">
        <v>2</v>
      </c>
    </row>
    <row r="52" spans="1:5" ht="15.75" x14ac:dyDescent="0.25">
      <c r="A52"/>
      <c r="D52" s="100" t="s">
        <v>361</v>
      </c>
      <c r="E52" s="100" t="s">
        <v>2</v>
      </c>
    </row>
    <row r="53" spans="1:5" ht="15.75" x14ac:dyDescent="0.25">
      <c r="A53"/>
      <c r="D53" s="100" t="s">
        <v>362</v>
      </c>
      <c r="E53" s="100" t="s">
        <v>2</v>
      </c>
    </row>
    <row r="54" spans="1:5" ht="15.75" x14ac:dyDescent="0.25">
      <c r="A54"/>
      <c r="D54" s="100" t="s">
        <v>186</v>
      </c>
      <c r="E54" s="100" t="s">
        <v>2</v>
      </c>
    </row>
    <row r="55" spans="1:5" ht="15.75" x14ac:dyDescent="0.25">
      <c r="A55"/>
      <c r="D55" s="100" t="s">
        <v>172</v>
      </c>
      <c r="E55" s="100" t="s">
        <v>2</v>
      </c>
    </row>
    <row r="56" spans="1:5" ht="15.75" x14ac:dyDescent="0.25">
      <c r="A56"/>
      <c r="D56" s="100" t="s">
        <v>363</v>
      </c>
      <c r="E56" s="100" t="s">
        <v>7</v>
      </c>
    </row>
    <row r="57" spans="1:5" ht="15.75" x14ac:dyDescent="0.25">
      <c r="A57"/>
      <c r="D57" s="100" t="s">
        <v>168</v>
      </c>
      <c r="E57" s="100" t="s">
        <v>7</v>
      </c>
    </row>
    <row r="58" spans="1:5" ht="31.5" x14ac:dyDescent="0.25">
      <c r="A58"/>
      <c r="D58" s="100" t="s">
        <v>364</v>
      </c>
      <c r="E58" s="100" t="s">
        <v>7</v>
      </c>
    </row>
    <row r="59" spans="1:5" ht="15.75" x14ac:dyDescent="0.25">
      <c r="A59"/>
      <c r="D59" s="100" t="s">
        <v>365</v>
      </c>
      <c r="E59" s="100" t="s">
        <v>7</v>
      </c>
    </row>
    <row r="60" spans="1:5" ht="15.75" x14ac:dyDescent="0.25">
      <c r="A60"/>
      <c r="D60" s="100" t="s">
        <v>366</v>
      </c>
      <c r="E60" s="100" t="s">
        <v>7</v>
      </c>
    </row>
    <row r="61" spans="1:5" ht="15.75" x14ac:dyDescent="0.25">
      <c r="A61"/>
      <c r="D61" s="100" t="s">
        <v>367</v>
      </c>
      <c r="E61" s="100" t="s">
        <v>7</v>
      </c>
    </row>
    <row r="62" spans="1:5" ht="15.75" x14ac:dyDescent="0.25">
      <c r="A62"/>
      <c r="D62" s="100" t="s">
        <v>368</v>
      </c>
      <c r="E62" s="100" t="s">
        <v>7</v>
      </c>
    </row>
    <row r="63" spans="1:5" ht="15.75" x14ac:dyDescent="0.25">
      <c r="A63"/>
      <c r="D63" s="100" t="s">
        <v>369</v>
      </c>
      <c r="E63" s="100" t="s">
        <v>7</v>
      </c>
    </row>
    <row r="64" spans="1:5" ht="15.75" x14ac:dyDescent="0.25">
      <c r="A64"/>
      <c r="D64" s="100" t="s">
        <v>370</v>
      </c>
      <c r="E64" s="100" t="s">
        <v>7</v>
      </c>
    </row>
    <row r="65" spans="1:5" ht="15.75" x14ac:dyDescent="0.25">
      <c r="A65"/>
      <c r="D65" s="100" t="s">
        <v>184</v>
      </c>
      <c r="E65" s="100" t="s">
        <v>2</v>
      </c>
    </row>
    <row r="66" spans="1:5" ht="31.5" x14ac:dyDescent="0.25">
      <c r="A66"/>
      <c r="D66" s="100" t="s">
        <v>371</v>
      </c>
      <c r="E66" s="100" t="s">
        <v>7</v>
      </c>
    </row>
    <row r="67" spans="1:5" ht="31.5" x14ac:dyDescent="0.25">
      <c r="A67"/>
      <c r="D67" s="100" t="s">
        <v>467</v>
      </c>
      <c r="E67" s="100" t="s">
        <v>7</v>
      </c>
    </row>
    <row r="68" spans="1:5" ht="31.5" x14ac:dyDescent="0.25">
      <c r="A68"/>
      <c r="D68" s="100" t="s">
        <v>372</v>
      </c>
      <c r="E68" s="100" t="s">
        <v>7</v>
      </c>
    </row>
    <row r="69" spans="1:5" ht="15.75" x14ac:dyDescent="0.25">
      <c r="A69"/>
      <c r="D69" s="100" t="s">
        <v>373</v>
      </c>
      <c r="E69" s="100" t="s">
        <v>2</v>
      </c>
    </row>
    <row r="70" spans="1:5" ht="15.75" x14ac:dyDescent="0.25">
      <c r="A70"/>
      <c r="D70" s="100" t="s">
        <v>374</v>
      </c>
      <c r="E70" s="100" t="s">
        <v>7</v>
      </c>
    </row>
    <row r="71" spans="1:5" ht="15.75" x14ac:dyDescent="0.25">
      <c r="A71"/>
      <c r="D71" s="100" t="s">
        <v>375</v>
      </c>
      <c r="E71" s="100" t="s">
        <v>7</v>
      </c>
    </row>
    <row r="72" spans="1:5" ht="15.75" x14ac:dyDescent="0.25">
      <c r="A72"/>
      <c r="D72" s="100" t="s">
        <v>376</v>
      </c>
      <c r="E72" s="100" t="s">
        <v>7</v>
      </c>
    </row>
    <row r="73" spans="1:5" ht="15.75" x14ac:dyDescent="0.25">
      <c r="A73"/>
      <c r="D73" s="100" t="s">
        <v>377</v>
      </c>
      <c r="E73" s="100" t="s">
        <v>7</v>
      </c>
    </row>
    <row r="74" spans="1:5" ht="15.75" x14ac:dyDescent="0.25">
      <c r="A74"/>
      <c r="D74" s="100" t="s">
        <v>378</v>
      </c>
      <c r="E74" s="100" t="s">
        <v>7</v>
      </c>
    </row>
    <row r="75" spans="1:5" ht="15.75" x14ac:dyDescent="0.25">
      <c r="A75"/>
      <c r="D75" s="100" t="s">
        <v>379</v>
      </c>
      <c r="E75" s="100" t="s">
        <v>7</v>
      </c>
    </row>
    <row r="76" spans="1:5" ht="15.75" x14ac:dyDescent="0.25">
      <c r="A76"/>
      <c r="D76" s="100" t="s">
        <v>41</v>
      </c>
      <c r="E76" s="100" t="s">
        <v>2</v>
      </c>
    </row>
    <row r="77" spans="1:5" ht="15.75" x14ac:dyDescent="0.25">
      <c r="A77"/>
      <c r="D77" s="100" t="s">
        <v>380</v>
      </c>
      <c r="E77" s="100" t="s">
        <v>2</v>
      </c>
    </row>
    <row r="78" spans="1:5" ht="31.5" x14ac:dyDescent="0.25">
      <c r="A78"/>
      <c r="D78" s="100" t="s">
        <v>381</v>
      </c>
      <c r="E78" s="100" t="s">
        <v>2</v>
      </c>
    </row>
    <row r="79" spans="1:5" ht="15.75" x14ac:dyDescent="0.25">
      <c r="A79"/>
      <c r="D79" s="100" t="s">
        <v>382</v>
      </c>
      <c r="E79" s="100" t="s">
        <v>2</v>
      </c>
    </row>
    <row r="80" spans="1:5" ht="15.75" x14ac:dyDescent="0.25">
      <c r="A80"/>
      <c r="D80" s="100" t="s">
        <v>383</v>
      </c>
      <c r="E80" s="100" t="s">
        <v>7</v>
      </c>
    </row>
    <row r="81" spans="1:5" ht="15.75" x14ac:dyDescent="0.25">
      <c r="A81"/>
      <c r="D81" s="100" t="s">
        <v>175</v>
      </c>
      <c r="E81" s="100" t="s">
        <v>7</v>
      </c>
    </row>
    <row r="82" spans="1:5" ht="15.75" x14ac:dyDescent="0.25">
      <c r="A82"/>
      <c r="D82" s="100" t="s">
        <v>384</v>
      </c>
      <c r="E82" s="100" t="s">
        <v>7</v>
      </c>
    </row>
    <row r="83" spans="1:5" ht="15.75" x14ac:dyDescent="0.25">
      <c r="A83"/>
      <c r="D83" s="100" t="s">
        <v>385</v>
      </c>
      <c r="E83" s="100" t="s">
        <v>7</v>
      </c>
    </row>
    <row r="84" spans="1:5" ht="15.75" x14ac:dyDescent="0.25">
      <c r="A84"/>
      <c r="D84" s="100" t="s">
        <v>169</v>
      </c>
      <c r="E84" s="100" t="s">
        <v>7</v>
      </c>
    </row>
    <row r="85" spans="1:5" ht="15.75" x14ac:dyDescent="0.25">
      <c r="A85"/>
      <c r="D85" s="100" t="s">
        <v>386</v>
      </c>
      <c r="E85" s="100" t="s">
        <v>7</v>
      </c>
    </row>
    <row r="86" spans="1:5" ht="15.75" x14ac:dyDescent="0.25">
      <c r="A86"/>
      <c r="D86" s="100" t="s">
        <v>194</v>
      </c>
      <c r="E86" s="100" t="s">
        <v>7</v>
      </c>
    </row>
    <row r="87" spans="1:5" ht="15.75" x14ac:dyDescent="0.25">
      <c r="A87"/>
      <c r="D87" s="100" t="s">
        <v>387</v>
      </c>
      <c r="E87" s="100" t="s">
        <v>7</v>
      </c>
    </row>
    <row r="88" spans="1:5" x14ac:dyDescent="0.25">
      <c r="A88"/>
    </row>
    <row r="89" spans="1:5" x14ac:dyDescent="0.25">
      <c r="A89"/>
    </row>
    <row r="90" spans="1:5" x14ac:dyDescent="0.25">
      <c r="A90"/>
    </row>
    <row r="91" spans="1:5" x14ac:dyDescent="0.25">
      <c r="A91"/>
    </row>
    <row r="92" spans="1:5" x14ac:dyDescent="0.25">
      <c r="A92"/>
    </row>
    <row r="93" spans="1:5" x14ac:dyDescent="0.25">
      <c r="A93"/>
    </row>
    <row r="94" spans="1:5" x14ac:dyDescent="0.25">
      <c r="A94"/>
    </row>
    <row r="95" spans="1:5" x14ac:dyDescent="0.25">
      <c r="A95"/>
    </row>
    <row r="96" spans="1:5"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sheetData>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1">
        <x14:dataValidation type="list" allowBlank="1" showInputMessage="1" showErrorMessage="1" xr:uid="{3D6C3009-E8CB-438F-874B-60FA28727EFA}">
          <x14:formula1>
            <xm:f>'Z:\FileServer Data\FDEP Middle Basin\Lakes Harney and Monroe\BMAP and Annual Reports\2017 Annual Report\2017 Project Collection\Recieved 2017\DeBary\[DeBary_LHM_Project Collection 2017 (02-05-2018).xlsx]Instructions'!#REF!</xm:f>
          </x14:formula1>
          <xm:sqref>A13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Harney-Monroe All Projects</vt:lpstr>
      <vt:lpstr>Load Reductions </vt:lpstr>
      <vt:lpstr>Summary Info</vt:lpstr>
      <vt:lpstr>Progress Charts</vt:lpstr>
      <vt:lpstr>Project Type Check 022520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Heather York</dc:creator>
  <cp:lastModifiedBy>Chris Caschera</cp:lastModifiedBy>
  <dcterms:created xsi:type="dcterms:W3CDTF">2016-01-25T14:30:52Z</dcterms:created>
  <dcterms:modified xsi:type="dcterms:W3CDTF">2020-04-13T20:21:11Z</dcterms:modified>
</cp:coreProperties>
</file>