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cecil_s\Desktop\"/>
    </mc:Choice>
  </mc:AlternateContent>
  <xr:revisionPtr revIDLastSave="0" documentId="13_ncr:1_{FC4B61E8-8121-4710-91CF-E17463DB2A07}" xr6:coauthVersionLast="46" xr6:coauthVersionMax="46" xr10:uidLastSave="{00000000-0000-0000-0000-000000000000}"/>
  <bookViews>
    <workbookView xWindow="57480" yWindow="-120" windowWidth="29040" windowHeight="15840" xr2:uid="{5DFAC926-8873-42B0-95F5-44C1EC9480D1}"/>
  </bookViews>
  <sheets>
    <sheet name="Example" sheetId="18" r:id="rId1"/>
    <sheet name="Blank" sheetId="15" r:id="rId2"/>
    <sheet name="Look up Tables"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9" i="18" l="1" a="1"/>
  <c r="A19" i="18" s="1"/>
  <c r="J7" i="18"/>
  <c r="H7" i="18" a="1"/>
  <c r="H7" i="18" s="1"/>
  <c r="Q19" i="18"/>
  <c r="S40" i="15" a="1"/>
  <c r="S40" i="15" s="1"/>
  <c r="K7" i="15"/>
  <c r="J7" i="15"/>
  <c r="Y8" i="15"/>
  <c r="Z8" i="15"/>
  <c r="Y9" i="15"/>
  <c r="Z9" i="15"/>
  <c r="Z38" i="15" s="1"/>
  <c r="Y10" i="15"/>
  <c r="Z10" i="15"/>
  <c r="Y11" i="15"/>
  <c r="Z11" i="15"/>
  <c r="Y12" i="15"/>
  <c r="Z12" i="15"/>
  <c r="Y13" i="15"/>
  <c r="Z13" i="15"/>
  <c r="Y14" i="15"/>
  <c r="Z14" i="15"/>
  <c r="Y15" i="15"/>
  <c r="Z15" i="15"/>
  <c r="Y16" i="15"/>
  <c r="Z16" i="15"/>
  <c r="Y17" i="15"/>
  <c r="Z17" i="15"/>
  <c r="Y18" i="15"/>
  <c r="Z18" i="15"/>
  <c r="Y19" i="15"/>
  <c r="Z19" i="15"/>
  <c r="Y20" i="15"/>
  <c r="Z20" i="15"/>
  <c r="Y21" i="15"/>
  <c r="Z21" i="15"/>
  <c r="Y22" i="15"/>
  <c r="Z22" i="15"/>
  <c r="Y23" i="15"/>
  <c r="Z23" i="15"/>
  <c r="Y24" i="15"/>
  <c r="Z24" i="15"/>
  <c r="Y25" i="15"/>
  <c r="Z25" i="15"/>
  <c r="Y26" i="15"/>
  <c r="Z26" i="15"/>
  <c r="Y27" i="15"/>
  <c r="Z27" i="15"/>
  <c r="Y28" i="15"/>
  <c r="Z28" i="15"/>
  <c r="Y29" i="15"/>
  <c r="Z29" i="15"/>
  <c r="Y30" i="15"/>
  <c r="Z30" i="15"/>
  <c r="Y31" i="15"/>
  <c r="Z31" i="15"/>
  <c r="Y32" i="15"/>
  <c r="Z32" i="15"/>
  <c r="Y33" i="15"/>
  <c r="Z33" i="15"/>
  <c r="Y34" i="15"/>
  <c r="Z34" i="15"/>
  <c r="Y35" i="15"/>
  <c r="Z35" i="15"/>
  <c r="Y36" i="15"/>
  <c r="Z36" i="15"/>
  <c r="Y37" i="15"/>
  <c r="Z37" i="15"/>
  <c r="Y7" i="15"/>
  <c r="Y38" i="15" s="1"/>
  <c r="Z7" i="15"/>
  <c r="Q13" i="15"/>
  <c r="Q21" i="15"/>
  <c r="J29" i="15"/>
  <c r="J37" i="15"/>
  <c r="Y8" i="18"/>
  <c r="Z8" i="18"/>
  <c r="Y9" i="18"/>
  <c r="Z9" i="18"/>
  <c r="Y10" i="18"/>
  <c r="Z10" i="18"/>
  <c r="Y11" i="18"/>
  <c r="Z11" i="18"/>
  <c r="Y12" i="18"/>
  <c r="Z12" i="18"/>
  <c r="Y13" i="18"/>
  <c r="Z13" i="18"/>
  <c r="Y14" i="18"/>
  <c r="Z14" i="18"/>
  <c r="Y15" i="18"/>
  <c r="Z15" i="18"/>
  <c r="Y16" i="18"/>
  <c r="Z16" i="18"/>
  <c r="Y17" i="18"/>
  <c r="Z17" i="18"/>
  <c r="Y18" i="18"/>
  <c r="Z18" i="18"/>
  <c r="Z7" i="18"/>
  <c r="Y7" i="18"/>
  <c r="Q8" i="18"/>
  <c r="R8" i="18"/>
  <c r="Q9" i="18"/>
  <c r="R9" i="18"/>
  <c r="Q10" i="18"/>
  <c r="R10" i="18"/>
  <c r="Q11" i="18"/>
  <c r="R11" i="18"/>
  <c r="Q12" i="18"/>
  <c r="R12" i="18"/>
  <c r="Q13" i="18"/>
  <c r="R13" i="18"/>
  <c r="Q14" i="18"/>
  <c r="R14" i="18"/>
  <c r="Q15" i="18"/>
  <c r="R15" i="18"/>
  <c r="Q16" i="18"/>
  <c r="R16" i="18"/>
  <c r="Q17" i="18"/>
  <c r="R17" i="18"/>
  <c r="Q18" i="18"/>
  <c r="R18" i="18"/>
  <c r="R7" i="18"/>
  <c r="Q7" i="18"/>
  <c r="K17" i="18"/>
  <c r="U19" i="18"/>
  <c r="U21" i="18" s="1" a="1"/>
  <c r="U21" i="18" s="1"/>
  <c r="S19" i="18"/>
  <c r="S21" i="18" s="1" a="1"/>
  <c r="S21" i="18" s="1"/>
  <c r="M19" i="18"/>
  <c r="F19" i="18"/>
  <c r="F21" i="18" s="1"/>
  <c r="E19" i="18"/>
  <c r="E21" i="18" s="1"/>
  <c r="X18" i="18" a="1"/>
  <c r="X18" i="18" s="1"/>
  <c r="W18" i="18" a="1"/>
  <c r="W18" i="18" s="1"/>
  <c r="P18" i="18" a="1"/>
  <c r="P18" i="18" s="1"/>
  <c r="O18" i="18" a="1"/>
  <c r="O18" i="18" s="1"/>
  <c r="I18" i="18" a="1"/>
  <c r="I18" i="18" s="1"/>
  <c r="H18" i="18" a="1"/>
  <c r="H18" i="18" s="1"/>
  <c r="X17" i="18" a="1"/>
  <c r="X17" i="18" s="1"/>
  <c r="W17" i="18" a="1"/>
  <c r="W17" i="18" s="1"/>
  <c r="P17" i="18" a="1"/>
  <c r="P17" i="18" s="1"/>
  <c r="O17" i="18" a="1"/>
  <c r="O17" i="18" s="1"/>
  <c r="I17" i="18" a="1"/>
  <c r="I17" i="18" s="1"/>
  <c r="H17" i="18" a="1"/>
  <c r="H17" i="18" s="1"/>
  <c r="X16" i="18" a="1"/>
  <c r="X16" i="18" s="1"/>
  <c r="W16" i="18" a="1"/>
  <c r="W16" i="18" s="1"/>
  <c r="P16" i="18" a="1"/>
  <c r="P16" i="18" s="1"/>
  <c r="O16" i="18" a="1"/>
  <c r="O16" i="18" s="1"/>
  <c r="I16" i="18" a="1"/>
  <c r="I16" i="18" s="1"/>
  <c r="H16" i="18" a="1"/>
  <c r="H16" i="18" s="1"/>
  <c r="X15" i="18" a="1"/>
  <c r="X15" i="18" s="1"/>
  <c r="W15" i="18" a="1"/>
  <c r="W15" i="18" s="1"/>
  <c r="P15" i="18" a="1"/>
  <c r="P15" i="18" s="1"/>
  <c r="O15" i="18" a="1"/>
  <c r="O15" i="18" s="1"/>
  <c r="I15" i="18" a="1"/>
  <c r="I15" i="18" s="1"/>
  <c r="H15" i="18" a="1"/>
  <c r="H15" i="18" s="1"/>
  <c r="X14" i="18" a="1"/>
  <c r="X14" i="18" s="1"/>
  <c r="W14" i="18" a="1"/>
  <c r="W14" i="18" s="1"/>
  <c r="P14" i="18" a="1"/>
  <c r="P14" i="18" s="1"/>
  <c r="O14" i="18" a="1"/>
  <c r="O14" i="18" s="1"/>
  <c r="I14" i="18" a="1"/>
  <c r="I14" i="18" s="1"/>
  <c r="H14" i="18" a="1"/>
  <c r="H14" i="18" s="1"/>
  <c r="X13" i="18" a="1"/>
  <c r="X13" i="18" s="1"/>
  <c r="W13" i="18" a="1"/>
  <c r="W13" i="18" s="1"/>
  <c r="P13" i="18" a="1"/>
  <c r="P13" i="18" s="1"/>
  <c r="O13" i="18" a="1"/>
  <c r="O13" i="18" s="1"/>
  <c r="I13" i="18" a="1"/>
  <c r="I13" i="18" s="1"/>
  <c r="H13" i="18" a="1"/>
  <c r="H13" i="18" s="1"/>
  <c r="X12" i="18" a="1"/>
  <c r="X12" i="18" s="1"/>
  <c r="W12" i="18" a="1"/>
  <c r="W12" i="18" s="1"/>
  <c r="P12" i="18" a="1"/>
  <c r="P12" i="18" s="1"/>
  <c r="O12" i="18" a="1"/>
  <c r="O12" i="18" s="1"/>
  <c r="I12" i="18" a="1"/>
  <c r="I12" i="18" s="1"/>
  <c r="H12" i="18" a="1"/>
  <c r="H12" i="18" s="1"/>
  <c r="X11" i="18" a="1"/>
  <c r="X11" i="18" s="1"/>
  <c r="W11" i="18" a="1"/>
  <c r="W11" i="18" s="1"/>
  <c r="P11" i="18" a="1"/>
  <c r="P11" i="18" s="1"/>
  <c r="O11" i="18" a="1"/>
  <c r="O11" i="18" s="1"/>
  <c r="I11" i="18" a="1"/>
  <c r="I11" i="18" s="1"/>
  <c r="H11" i="18" a="1"/>
  <c r="H11" i="18" s="1"/>
  <c r="X10" i="18" a="1"/>
  <c r="X10" i="18" s="1"/>
  <c r="W10" i="18" a="1"/>
  <c r="W10" i="18" s="1"/>
  <c r="P10" i="18" a="1"/>
  <c r="P10" i="18" s="1"/>
  <c r="O10" i="18" a="1"/>
  <c r="O10" i="18" s="1"/>
  <c r="I10" i="18" a="1"/>
  <c r="I10" i="18" s="1"/>
  <c r="H10" i="18" a="1"/>
  <c r="H10" i="18" s="1"/>
  <c r="X9" i="18" a="1"/>
  <c r="X9" i="18" s="1"/>
  <c r="W9" i="18" a="1"/>
  <c r="W9" i="18" s="1"/>
  <c r="P9" i="18" a="1"/>
  <c r="P9" i="18" s="1"/>
  <c r="O9" i="18" a="1"/>
  <c r="O9" i="18" s="1"/>
  <c r="I9" i="18" a="1"/>
  <c r="I9" i="18" s="1"/>
  <c r="H9" i="18" a="1"/>
  <c r="H9" i="18" s="1"/>
  <c r="X8" i="18" a="1"/>
  <c r="X8" i="18" s="1"/>
  <c r="W8" i="18" a="1"/>
  <c r="W8" i="18" s="1"/>
  <c r="P8" i="18" a="1"/>
  <c r="P8" i="18" s="1"/>
  <c r="O8" i="18" a="1"/>
  <c r="O8" i="18" s="1"/>
  <c r="I8" i="18" a="1"/>
  <c r="I8" i="18" s="1"/>
  <c r="H8" i="18" a="1"/>
  <c r="H8" i="18" s="1"/>
  <c r="X7" i="18" a="1"/>
  <c r="X7" i="18" s="1"/>
  <c r="W7" i="18" a="1"/>
  <c r="W7" i="18" s="1"/>
  <c r="P7" i="18" a="1"/>
  <c r="P7" i="18" s="1"/>
  <c r="O7" i="18" a="1"/>
  <c r="O7" i="18" s="1"/>
  <c r="I7" i="18" a="1"/>
  <c r="I7" i="18" s="1"/>
  <c r="D5" i="18"/>
  <c r="W7" i="15" a="1"/>
  <c r="W7" i="15" s="1"/>
  <c r="A38" i="15" a="1"/>
  <c r="A38" i="15" s="1"/>
  <c r="X7" i="15" a="1"/>
  <c r="X7" i="15" s="1"/>
  <c r="P7" i="15" a="1"/>
  <c r="P7" i="15" s="1"/>
  <c r="R7" i="15" s="1"/>
  <c r="O7" i="15" a="1"/>
  <c r="O7" i="15" s="1"/>
  <c r="Q7" i="15" s="1"/>
  <c r="I7" i="15" a="1"/>
  <c r="I7" i="15" s="1"/>
  <c r="H7" i="15" a="1"/>
  <c r="H7" i="15" s="1"/>
  <c r="E5" i="15"/>
  <c r="H8" i="15"/>
  <c r="J8" i="15" s="1"/>
  <c r="I8" i="15"/>
  <c r="K8" i="15" s="1"/>
  <c r="O8" i="15"/>
  <c r="Q8" i="15" s="1"/>
  <c r="P8" i="15"/>
  <c r="R8" i="15" s="1"/>
  <c r="W8" i="15"/>
  <c r="X8" i="15"/>
  <c r="H9" i="15"/>
  <c r="J9" i="15" s="1"/>
  <c r="I9" i="15"/>
  <c r="K9" i="15" s="1"/>
  <c r="O9" i="15"/>
  <c r="Q9" i="15" s="1"/>
  <c r="P9" i="15"/>
  <c r="R9" i="15" s="1"/>
  <c r="W9" i="15"/>
  <c r="X9" i="15"/>
  <c r="H10" i="15"/>
  <c r="J10" i="15" s="1"/>
  <c r="I10" i="15"/>
  <c r="K10" i="15" s="1"/>
  <c r="O10" i="15"/>
  <c r="Q10" i="15" s="1"/>
  <c r="P10" i="15"/>
  <c r="R10" i="15" s="1"/>
  <c r="W10" i="15"/>
  <c r="X10" i="15"/>
  <c r="H11" i="15"/>
  <c r="J11" i="15" s="1"/>
  <c r="I11" i="15"/>
  <c r="K11" i="15" s="1"/>
  <c r="O11" i="15"/>
  <c r="Q11" i="15" s="1"/>
  <c r="P11" i="15"/>
  <c r="R11" i="15" s="1"/>
  <c r="W11" i="15"/>
  <c r="X11" i="15"/>
  <c r="H12" i="15"/>
  <c r="J12" i="15" s="1"/>
  <c r="I12" i="15"/>
  <c r="K12" i="15" s="1"/>
  <c r="O12" i="15"/>
  <c r="Q12" i="15" s="1"/>
  <c r="P12" i="15"/>
  <c r="R12" i="15" s="1"/>
  <c r="W12" i="15"/>
  <c r="X12" i="15"/>
  <c r="H13" i="15"/>
  <c r="J13" i="15" s="1"/>
  <c r="I13" i="15"/>
  <c r="K13" i="15" s="1"/>
  <c r="O13" i="15"/>
  <c r="P13" i="15"/>
  <c r="R13" i="15" s="1"/>
  <c r="W13" i="15"/>
  <c r="X13" i="15"/>
  <c r="H14" i="15"/>
  <c r="J14" i="15" s="1"/>
  <c r="I14" i="15"/>
  <c r="K14" i="15" s="1"/>
  <c r="O14" i="15"/>
  <c r="Q14" i="15" s="1"/>
  <c r="P14" i="15"/>
  <c r="R14" i="15" s="1"/>
  <c r="W14" i="15"/>
  <c r="X14" i="15"/>
  <c r="H15" i="15"/>
  <c r="J15" i="15" s="1"/>
  <c r="I15" i="15"/>
  <c r="K15" i="15" s="1"/>
  <c r="O15" i="15"/>
  <c r="Q15" i="15" s="1"/>
  <c r="P15" i="15"/>
  <c r="R15" i="15" s="1"/>
  <c r="W15" i="15"/>
  <c r="X15" i="15"/>
  <c r="H16" i="15"/>
  <c r="J16" i="15" s="1"/>
  <c r="I16" i="15"/>
  <c r="K16" i="15" s="1"/>
  <c r="O16" i="15"/>
  <c r="Q16" i="15" s="1"/>
  <c r="P16" i="15"/>
  <c r="R16" i="15" s="1"/>
  <c r="W16" i="15"/>
  <c r="X16" i="15"/>
  <c r="H17" i="15"/>
  <c r="J17" i="15" s="1"/>
  <c r="I17" i="15"/>
  <c r="K17" i="15" s="1"/>
  <c r="O17" i="15"/>
  <c r="Q17" i="15" s="1"/>
  <c r="P17" i="15"/>
  <c r="R17" i="15" s="1"/>
  <c r="W17" i="15"/>
  <c r="X17" i="15"/>
  <c r="H18" i="15"/>
  <c r="J18" i="15" s="1"/>
  <c r="I18" i="15"/>
  <c r="K18" i="15" s="1"/>
  <c r="O18" i="15"/>
  <c r="Q18" i="15" s="1"/>
  <c r="P18" i="15"/>
  <c r="R18" i="15" s="1"/>
  <c r="W18" i="15"/>
  <c r="X18" i="15"/>
  <c r="H19" i="15"/>
  <c r="J19" i="15" s="1"/>
  <c r="I19" i="15"/>
  <c r="K19" i="15" s="1"/>
  <c r="O19" i="15"/>
  <c r="Q19" i="15" s="1"/>
  <c r="P19" i="15"/>
  <c r="R19" i="15" s="1"/>
  <c r="W19" i="15"/>
  <c r="X19" i="15"/>
  <c r="H20" i="15"/>
  <c r="J20" i="15" s="1"/>
  <c r="I20" i="15"/>
  <c r="K20" i="15" s="1"/>
  <c r="O20" i="15"/>
  <c r="Q20" i="15" s="1"/>
  <c r="P20" i="15"/>
  <c r="R20" i="15" s="1"/>
  <c r="W20" i="15"/>
  <c r="X20" i="15"/>
  <c r="H21" i="15"/>
  <c r="J21" i="15" s="1"/>
  <c r="I21" i="15"/>
  <c r="K21" i="15" s="1"/>
  <c r="O21" i="15"/>
  <c r="P21" i="15"/>
  <c r="R21" i="15" s="1"/>
  <c r="W21" i="15"/>
  <c r="X21" i="15"/>
  <c r="F38" i="15"/>
  <c r="F40" i="15" s="1"/>
  <c r="H22" i="15"/>
  <c r="J22" i="15" s="1"/>
  <c r="I22" i="15"/>
  <c r="K22" i="15" s="1"/>
  <c r="O22" i="15"/>
  <c r="Q22" i="15" s="1"/>
  <c r="P22" i="15"/>
  <c r="R22" i="15" s="1"/>
  <c r="W22" i="15"/>
  <c r="X22" i="15"/>
  <c r="H23" i="15"/>
  <c r="J23" i="15" s="1"/>
  <c r="I23" i="15"/>
  <c r="K23" i="15" s="1"/>
  <c r="O23" i="15"/>
  <c r="Q23" i="15" s="1"/>
  <c r="P23" i="15"/>
  <c r="R23" i="15" s="1"/>
  <c r="W23" i="15"/>
  <c r="X23" i="15"/>
  <c r="H24" i="15"/>
  <c r="J24" i="15" s="1"/>
  <c r="I24" i="15"/>
  <c r="K24" i="15" s="1"/>
  <c r="O24" i="15"/>
  <c r="Q24" i="15" s="1"/>
  <c r="P24" i="15"/>
  <c r="R24" i="15" s="1"/>
  <c r="W24" i="15"/>
  <c r="X24" i="15"/>
  <c r="H25" i="15"/>
  <c r="J25" i="15" s="1"/>
  <c r="I25" i="15"/>
  <c r="K25" i="15" s="1"/>
  <c r="O25" i="15"/>
  <c r="Q25" i="15" s="1"/>
  <c r="P25" i="15"/>
  <c r="R25" i="15" s="1"/>
  <c r="W25" i="15"/>
  <c r="X25" i="15"/>
  <c r="H26" i="15"/>
  <c r="J26" i="15" s="1"/>
  <c r="I26" i="15"/>
  <c r="K26" i="15" s="1"/>
  <c r="O26" i="15"/>
  <c r="Q26" i="15" s="1"/>
  <c r="P26" i="15"/>
  <c r="R26" i="15" s="1"/>
  <c r="W26" i="15"/>
  <c r="X26" i="15"/>
  <c r="H27" i="15"/>
  <c r="J27" i="15" s="1"/>
  <c r="I27" i="15"/>
  <c r="K27" i="15" s="1"/>
  <c r="O27" i="15"/>
  <c r="Q27" i="15" s="1"/>
  <c r="P27" i="15"/>
  <c r="R27" i="15" s="1"/>
  <c r="W27" i="15"/>
  <c r="X27" i="15"/>
  <c r="E38" i="15"/>
  <c r="E40" i="15" s="1"/>
  <c r="X37" i="15"/>
  <c r="W37" i="15"/>
  <c r="P37" i="15"/>
  <c r="R37" i="15" s="1"/>
  <c r="O37" i="15"/>
  <c r="Q37" i="15" s="1"/>
  <c r="I37" i="15"/>
  <c r="K37" i="15" s="1"/>
  <c r="H37" i="15"/>
  <c r="X36" i="15"/>
  <c r="W36" i="15"/>
  <c r="P36" i="15"/>
  <c r="R36" i="15" s="1"/>
  <c r="O36" i="15"/>
  <c r="Q36" i="15" s="1"/>
  <c r="I36" i="15"/>
  <c r="K36" i="15" s="1"/>
  <c r="H36" i="15"/>
  <c r="J36" i="15" s="1"/>
  <c r="X35" i="15"/>
  <c r="W35" i="15"/>
  <c r="P35" i="15"/>
  <c r="R35" i="15" s="1"/>
  <c r="O35" i="15"/>
  <c r="Q35" i="15" s="1"/>
  <c r="I35" i="15"/>
  <c r="K35" i="15" s="1"/>
  <c r="H35" i="15"/>
  <c r="J35" i="15" s="1"/>
  <c r="X34" i="15"/>
  <c r="W34" i="15"/>
  <c r="P34" i="15"/>
  <c r="R34" i="15" s="1"/>
  <c r="O34" i="15"/>
  <c r="Q34" i="15" s="1"/>
  <c r="I34" i="15"/>
  <c r="K34" i="15" s="1"/>
  <c r="H34" i="15"/>
  <c r="J34" i="15" s="1"/>
  <c r="X33" i="15"/>
  <c r="W33" i="15"/>
  <c r="P33" i="15"/>
  <c r="R33" i="15" s="1"/>
  <c r="O33" i="15"/>
  <c r="Q33" i="15" s="1"/>
  <c r="I33" i="15"/>
  <c r="K33" i="15" s="1"/>
  <c r="H33" i="15"/>
  <c r="J33" i="15" s="1"/>
  <c r="X32" i="15"/>
  <c r="W32" i="15"/>
  <c r="P32" i="15"/>
  <c r="R32" i="15" s="1"/>
  <c r="O32" i="15"/>
  <c r="Q32" i="15" s="1"/>
  <c r="I32" i="15"/>
  <c r="K32" i="15" s="1"/>
  <c r="H32" i="15"/>
  <c r="J32" i="15" s="1"/>
  <c r="X31" i="15"/>
  <c r="W31" i="15"/>
  <c r="P31" i="15"/>
  <c r="R31" i="15" s="1"/>
  <c r="O31" i="15"/>
  <c r="Q31" i="15" s="1"/>
  <c r="I31" i="15"/>
  <c r="K31" i="15" s="1"/>
  <c r="H31" i="15"/>
  <c r="J31" i="15" s="1"/>
  <c r="X30" i="15"/>
  <c r="W30" i="15"/>
  <c r="P30" i="15"/>
  <c r="R30" i="15" s="1"/>
  <c r="O30" i="15"/>
  <c r="Q30" i="15" s="1"/>
  <c r="I30" i="15"/>
  <c r="K30" i="15" s="1"/>
  <c r="H30" i="15"/>
  <c r="J30" i="15" s="1"/>
  <c r="X29" i="15"/>
  <c r="W29" i="15"/>
  <c r="P29" i="15"/>
  <c r="R29" i="15" s="1"/>
  <c r="O29" i="15"/>
  <c r="Q29" i="15" s="1"/>
  <c r="I29" i="15"/>
  <c r="K29" i="15" s="1"/>
  <c r="H29" i="15"/>
  <c r="X28" i="15"/>
  <c r="W28" i="15"/>
  <c r="P28" i="15"/>
  <c r="R28" i="15" s="1"/>
  <c r="O28" i="15"/>
  <c r="Q28" i="15" s="1"/>
  <c r="I28" i="15"/>
  <c r="K28" i="15" s="1"/>
  <c r="H28" i="15"/>
  <c r="J28" i="15" s="1"/>
  <c r="A21" i="18" l="1"/>
  <c r="J38" i="15"/>
  <c r="K38" i="15"/>
  <c r="Q38" i="15"/>
  <c r="Y39" i="15" s="1"/>
  <c r="R38" i="15"/>
  <c r="Z39" i="15" s="1"/>
  <c r="J10" i="18"/>
  <c r="K7" i="18"/>
  <c r="K18" i="18"/>
  <c r="K16" i="18"/>
  <c r="J18" i="18"/>
  <c r="K15" i="18"/>
  <c r="J17" i="18"/>
  <c r="K14" i="18"/>
  <c r="J16" i="18"/>
  <c r="K13" i="18"/>
  <c r="J15" i="18"/>
  <c r="K12" i="18"/>
  <c r="J14" i="18"/>
  <c r="K11" i="18"/>
  <c r="J13" i="18"/>
  <c r="K10" i="18"/>
  <c r="J12" i="18"/>
  <c r="K9" i="18"/>
  <c r="J11" i="18"/>
  <c r="K8" i="18"/>
  <c r="J9" i="18"/>
  <c r="J8" i="18"/>
  <c r="S20" i="18"/>
  <c r="U20" i="18"/>
  <c r="S38" i="15"/>
  <c r="U38" i="15"/>
  <c r="A40" i="15"/>
  <c r="R39" i="15" l="1"/>
  <c r="R40" i="15" s="1"/>
  <c r="Q39" i="15"/>
  <c r="Q40" i="15" s="1"/>
  <c r="Y40" i="15"/>
  <c r="Z40" i="15"/>
  <c r="K19" i="18"/>
  <c r="J19" i="18"/>
  <c r="Y19" i="18"/>
  <c r="Z19" i="18"/>
  <c r="R19" i="18"/>
  <c r="U40" i="15" a="1"/>
  <c r="U40" i="15" s="1"/>
  <c r="M38" i="15"/>
  <c r="J39" i="15"/>
  <c r="Y20" i="18" l="1"/>
  <c r="Q20" i="18"/>
  <c r="J20" i="18"/>
  <c r="J21" i="18" s="1"/>
  <c r="K20" i="18"/>
  <c r="K21" i="18" s="1"/>
  <c r="R20" i="18"/>
  <c r="R21" i="18" s="1"/>
  <c r="Z20" i="18"/>
  <c r="Z21" i="18" s="1"/>
  <c r="Y21" i="18"/>
  <c r="Q21" i="18"/>
  <c r="S39" i="15"/>
  <c r="U39" i="15"/>
  <c r="K39"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<sst xmlns="http://schemas.openxmlformats.org/spreadsheetml/2006/main" count="181" uniqueCount="112">
  <si>
    <t xml:space="preserve">Project Name:  </t>
  </si>
  <si>
    <t>W1</t>
  </si>
  <si>
    <t>W2*</t>
  </si>
  <si>
    <t>W3</t>
  </si>
  <si>
    <t>WC1</t>
  </si>
  <si>
    <t>WC2</t>
  </si>
  <si>
    <t>WC3</t>
  </si>
  <si>
    <t>EC1</t>
  </si>
  <si>
    <t>EC3</t>
  </si>
  <si>
    <t>E1</t>
  </si>
  <si>
    <t>E2</t>
  </si>
  <si>
    <t>E3</t>
  </si>
  <si>
    <t>EC2*</t>
  </si>
  <si>
    <t xml:space="preserve">N flux </t>
  </si>
  <si>
    <t>P flux</t>
  </si>
  <si>
    <t>10.0 - 10.9</t>
  </si>
  <si>
    <t>11.0 - 11.9</t>
  </si>
  <si>
    <t>12.0 - 12.9</t>
  </si>
  <si>
    <t>13.0 - 13.9</t>
  </si>
  <si>
    <t>14.0 - 14.9</t>
  </si>
  <si>
    <t>15.0 - 15.9</t>
  </si>
  <si>
    <t>16.0 - 16.9</t>
  </si>
  <si>
    <t>17.0 - 17.9</t>
  </si>
  <si>
    <t>18.0 - 18.9</t>
  </si>
  <si>
    <t>19.0 - 19.9</t>
  </si>
  <si>
    <t>Project Area (ac)</t>
  </si>
  <si>
    <t xml:space="preserve"> 0.0 - 10.0</t>
  </si>
  <si>
    <r>
      <t>Look-Up Table of flux values (kg/km</t>
    </r>
    <r>
      <rPr>
        <b/>
        <vertAlign val="superscript"/>
        <sz val="12"/>
        <color theme="1"/>
        <rFont val="Calibri"/>
        <family val="2"/>
        <scheme val="minor"/>
      </rPr>
      <t>2</t>
    </r>
    <r>
      <rPr>
        <b/>
        <sz val="12"/>
        <color theme="1"/>
        <rFont val="Calibri"/>
        <family val="2"/>
        <scheme val="minor"/>
      </rPr>
      <t xml:space="preserve">/yr) derived from %LOI  </t>
    </r>
  </si>
  <si>
    <t>Latitude (decimal degrees)</t>
  </si>
  <si>
    <t>Longitude (decimal degrees)</t>
  </si>
  <si>
    <t>Sampling Sites</t>
  </si>
  <si>
    <t>Salinity (psu)</t>
  </si>
  <si>
    <t>Muck Thickness (cm)</t>
  </si>
  <si>
    <r>
      <t>Project Area (km</t>
    </r>
    <r>
      <rPr>
        <b/>
        <vertAlign val="superscript"/>
        <sz val="12"/>
        <color theme="1"/>
        <rFont val="Calibri"/>
        <family val="2"/>
        <scheme val="minor"/>
      </rPr>
      <t>2</t>
    </r>
    <r>
      <rPr>
        <b/>
        <sz val="12"/>
        <color theme="1"/>
        <rFont val="Calibri"/>
        <family val="2"/>
        <scheme val="minor"/>
      </rPr>
      <t>)</t>
    </r>
  </si>
  <si>
    <t>Credit</t>
  </si>
  <si>
    <t>Pre-Dredge Date:</t>
  </si>
  <si>
    <t>Pre-Dredge Eligibility Criteria</t>
  </si>
  <si>
    <t>% LOI</t>
  </si>
  <si>
    <t>0.004 – 0.008</t>
  </si>
  <si>
    <t>5 – 6</t>
  </si>
  <si>
    <t>0.008 – 0.017</t>
  </si>
  <si>
    <t>6 – 7</t>
  </si>
  <si>
    <t>0.017 – 0.025</t>
  </si>
  <si>
    <t>8 – 9</t>
  </si>
  <si>
    <t>0.025 – 0.042</t>
  </si>
  <si>
    <t>9 – 10</t>
  </si>
  <si>
    <t>0.042 – 0.054</t>
  </si>
  <si>
    <t>0.054 – 0.071</t>
  </si>
  <si>
    <t>0.071 – 0.083</t>
  </si>
  <si>
    <t>0.083 – 0.108</t>
  </si>
  <si>
    <t>0.108 – 0.133</t>
  </si>
  <si>
    <t>0.133 – 0.167</t>
  </si>
  <si>
    <t>0.167 – 0.192</t>
  </si>
  <si>
    <t>0.192 – 0.233</t>
  </si>
  <si>
    <t>0.233 – 0.275</t>
  </si>
  <si>
    <t>0.275 – 0.317</t>
  </si>
  <si>
    <t>0.317 – 0.367</t>
  </si>
  <si>
    <t>0.367 – 0.417</t>
  </si>
  <si>
    <t>0.417 – 0.483</t>
  </si>
  <si>
    <t>0.483 – 0.542</t>
  </si>
  <si>
    <t>0.542 – 0.625</t>
  </si>
  <si>
    <t>0.625 – 0.692</t>
  </si>
  <si>
    <t>0.692 – 0.775</t>
  </si>
  <si>
    <t>0.775 – 0.858</t>
  </si>
  <si>
    <t>0.858 – 0.938</t>
  </si>
  <si>
    <t>0.938 – 1.000</t>
  </si>
  <si>
    <t>Look-Up Table of Mimimum Sampling Sites</t>
  </si>
  <si>
    <r>
      <t xml:space="preserve">%LOI @550 </t>
    </r>
    <r>
      <rPr>
        <vertAlign val="superscript"/>
        <sz val="12"/>
        <color theme="1"/>
        <rFont val="Calibri"/>
        <family val="2"/>
        <scheme val="minor"/>
      </rPr>
      <t>o</t>
    </r>
    <r>
      <rPr>
        <sz val="12"/>
        <color theme="1"/>
        <rFont val="Calibri"/>
        <family val="2"/>
        <scheme val="minor"/>
      </rPr>
      <t>C</t>
    </r>
  </si>
  <si>
    <t>≥20</t>
  </si>
  <si>
    <t xml:space="preserve"> Percent Loss on Ignition (% LOI)</t>
  </si>
  <si>
    <t>Sample Number</t>
  </si>
  <si>
    <t>N/A</t>
  </si>
  <si>
    <t>Revised Credit</t>
  </si>
  <si>
    <t>Median Total Flux</t>
  </si>
  <si>
    <t>Net Pre-dredge Flux</t>
  </si>
  <si>
    <r>
      <t>Nitrogen (N) Flux kg/km</t>
    </r>
    <r>
      <rPr>
        <b/>
        <vertAlign val="superscript"/>
        <sz val="12"/>
        <color theme="1"/>
        <rFont val="Calibri"/>
        <family val="2"/>
        <scheme val="minor"/>
      </rPr>
      <t>2</t>
    </r>
    <r>
      <rPr>
        <b/>
        <sz val="12"/>
        <color theme="1"/>
        <rFont val="Calibri"/>
        <family val="2"/>
        <scheme val="minor"/>
      </rPr>
      <t>/yr</t>
    </r>
  </si>
  <si>
    <r>
      <t>Phosphorus (P) Flux kg/km</t>
    </r>
    <r>
      <rPr>
        <b/>
        <vertAlign val="superscript"/>
        <sz val="12"/>
        <color theme="1"/>
        <rFont val="Calibri"/>
        <family val="2"/>
        <scheme val="minor"/>
      </rPr>
      <t>2</t>
    </r>
    <r>
      <rPr>
        <b/>
        <sz val="12"/>
        <color theme="1"/>
        <rFont val="Calibri"/>
        <family val="2"/>
        <scheme val="minor"/>
      </rPr>
      <t>/yr</t>
    </r>
  </si>
  <si>
    <r>
      <t>N Flux kg/km</t>
    </r>
    <r>
      <rPr>
        <b/>
        <vertAlign val="superscript"/>
        <sz val="12"/>
        <color theme="1"/>
        <rFont val="Calibri"/>
        <family val="2"/>
        <scheme val="minor"/>
      </rPr>
      <t>2</t>
    </r>
    <r>
      <rPr>
        <b/>
        <sz val="12"/>
        <color theme="1"/>
        <rFont val="Calibri"/>
        <family val="2"/>
        <scheme val="minor"/>
      </rPr>
      <t>/yr</t>
    </r>
  </si>
  <si>
    <r>
      <t>P Flux kg/km</t>
    </r>
    <r>
      <rPr>
        <b/>
        <vertAlign val="superscript"/>
        <sz val="12"/>
        <color theme="1"/>
        <rFont val="Calibri"/>
        <family val="2"/>
        <scheme val="minor"/>
      </rPr>
      <t>2</t>
    </r>
    <r>
      <rPr>
        <b/>
        <sz val="12"/>
        <color theme="1"/>
        <rFont val="Calibri"/>
        <family val="2"/>
        <scheme val="minor"/>
      </rPr>
      <t>/yr</t>
    </r>
  </si>
  <si>
    <t>Change from Pre-Dredge Flux</t>
  </si>
  <si>
    <t>Median Muck Depth (cm)</t>
  </si>
  <si>
    <t>Five-Year Check</t>
  </si>
  <si>
    <t>Nine-Year Post Dredge</t>
  </si>
  <si>
    <t>Less Than Six-Month Post Dredge</t>
  </si>
  <si>
    <t>Five-Year Date:</t>
  </si>
  <si>
    <t xml:space="preserve">BMAP &amp; Zone: </t>
  </si>
  <si>
    <t>Six-Month Post Dredge Date:</t>
  </si>
  <si>
    <t>Nine-Year Post Dredge Date:</t>
  </si>
  <si>
    <r>
      <t>Minimum salinity (</t>
    </r>
    <r>
      <rPr>
        <b/>
        <sz val="12"/>
        <color theme="1"/>
        <rFont val="Calibri"/>
        <family val="2"/>
      </rPr>
      <t xml:space="preserve">≥ 1 </t>
    </r>
    <r>
      <rPr>
        <b/>
        <sz val="12"/>
        <color theme="1"/>
        <rFont val="Calibri"/>
        <family val="2"/>
        <scheme val="minor"/>
      </rPr>
      <t>PSU) met?</t>
    </r>
  </si>
  <si>
    <t>Mimimum Median Muck Depth (30 cm) met?</t>
  </si>
  <si>
    <t>Is the Minimum Sample Sites Required (above) met?</t>
  </si>
  <si>
    <t>Net Nine-Year Post Drede Flux</t>
  </si>
  <si>
    <t>Net Nine-Year Post Dredge Flux</t>
  </si>
  <si>
    <t>XYZ Muck Removal</t>
  </si>
  <si>
    <t>CIRL SEB</t>
  </si>
  <si>
    <t>Credit: Joel Steward devised the calculations for this workbook.</t>
  </si>
  <si>
    <t>Maintenance: For questions on how to use this workbook you may request assistance from DEP.</t>
  </si>
  <si>
    <t xml:space="preserve">Kevin.Coyne@dep.state.fl.us </t>
  </si>
  <si>
    <t>850-245-8555</t>
  </si>
  <si>
    <t>Pre-Dredge Eligibility Criteria and Credit Planning</t>
  </si>
  <si>
    <r>
      <t>Temperature (</t>
    </r>
    <r>
      <rPr>
        <b/>
        <sz val="12"/>
        <color theme="1"/>
        <rFont val="Calibri"/>
        <family val="2"/>
      </rPr>
      <t>°C)</t>
    </r>
  </si>
  <si>
    <r>
      <t>Temperature Corrected N Flux kg/km</t>
    </r>
    <r>
      <rPr>
        <b/>
        <vertAlign val="superscript"/>
        <sz val="12"/>
        <color theme="1"/>
        <rFont val="Calibri"/>
        <family val="2"/>
        <scheme val="minor"/>
      </rPr>
      <t>2</t>
    </r>
    <r>
      <rPr>
        <b/>
        <sz val="12"/>
        <color theme="1"/>
        <rFont val="Calibri"/>
        <family val="2"/>
        <scheme val="minor"/>
      </rPr>
      <t>/yr</t>
    </r>
  </si>
  <si>
    <r>
      <t>Temperature Corrected P Flux kg/km</t>
    </r>
    <r>
      <rPr>
        <b/>
        <vertAlign val="superscript"/>
        <sz val="12"/>
        <color theme="1"/>
        <rFont val="Calibri"/>
        <family val="2"/>
        <scheme val="minor"/>
      </rPr>
      <t>2</t>
    </r>
    <r>
      <rPr>
        <b/>
        <sz val="12"/>
        <color theme="1"/>
        <rFont val="Calibri"/>
        <family val="2"/>
        <scheme val="minor"/>
      </rPr>
      <t>/yr</t>
    </r>
  </si>
  <si>
    <r>
      <t>Project Area Range (km</t>
    </r>
    <r>
      <rPr>
        <b/>
        <vertAlign val="superscript"/>
        <sz val="12"/>
        <color theme="1"/>
        <rFont val="Calibri"/>
        <family val="2"/>
        <scheme val="minor"/>
      </rPr>
      <t>2</t>
    </r>
    <r>
      <rPr>
        <b/>
        <sz val="12"/>
        <color theme="1"/>
        <rFont val="Calibri"/>
        <family val="2"/>
        <scheme val="minor"/>
      </rPr>
      <t>)</t>
    </r>
  </si>
  <si>
    <t>Median Total Temperature Corrected Flux</t>
  </si>
  <si>
    <t>Less Than Six-Month Post Dredge Crediting</t>
  </si>
  <si>
    <r>
      <t>Temperature Adjusted Nitrogen (N) Flux kg/km</t>
    </r>
    <r>
      <rPr>
        <b/>
        <vertAlign val="superscript"/>
        <sz val="12"/>
        <color theme="1"/>
        <rFont val="Calibri"/>
        <family val="2"/>
        <scheme val="minor"/>
      </rPr>
      <t>2</t>
    </r>
    <r>
      <rPr>
        <b/>
        <sz val="12"/>
        <color theme="1"/>
        <rFont val="Calibri"/>
        <family val="2"/>
        <scheme val="minor"/>
      </rPr>
      <t>/yr</t>
    </r>
  </si>
  <si>
    <r>
      <t>Temperature Adjusted Phosphorus (P) Flux kg/km</t>
    </r>
    <r>
      <rPr>
        <b/>
        <vertAlign val="superscript"/>
        <sz val="12"/>
        <color theme="1"/>
        <rFont val="Calibri"/>
        <family val="2"/>
        <scheme val="minor"/>
      </rPr>
      <t>2</t>
    </r>
    <r>
      <rPr>
        <b/>
        <sz val="12"/>
        <color theme="1"/>
        <rFont val="Calibri"/>
        <family val="2"/>
        <scheme val="minor"/>
      </rPr>
      <t>/yr</t>
    </r>
  </si>
  <si>
    <t>Q10 Constant TN</t>
  </si>
  <si>
    <t>Q10 Constant TP</t>
  </si>
  <si>
    <t>Planning Credit</t>
  </si>
  <si>
    <r>
      <t xml:space="preserve">Temperature for adjustment in </t>
    </r>
    <r>
      <rPr>
        <b/>
        <sz val="11"/>
        <color theme="1"/>
        <rFont val="Calibri"/>
        <family val="2"/>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</si>
</sst>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19" x14ac:knownFonts="1">
    <font>
      <sz val="11"/>
      <color theme="1"/>
      <name val="Calibri"/>
      <family val="2"/>
      <scheme val="minor"/>
    </font>
    <font>
      <sz val="12"/>
      <color theme="1"/>
      <name val="Calibri"/>
      <family val="2"/>
      <scheme val="minor"/>
    </font>
    <font>
      <vertAlign val="superscript"/>
      <sz val="12"/>
      <color theme="1"/>
      <name val="Calibri"/>
      <family val="2"/>
      <scheme val="minor"/>
    </font>
    <font>
      <b/>
      <sz val="12"/>
      <color rgb="FF0070C0"/>
      <name val="Calibri"/>
      <family val="2"/>
      <scheme val="minor"/>
    </font>
    <font>
      <b/>
      <sz val="12"/>
      <name val="Calibri"/>
      <family val="2"/>
      <scheme val="minor"/>
    </font>
    <font>
      <sz val="12"/>
      <name val="Calibri"/>
      <family val="2"/>
      <scheme val="minor"/>
    </font>
    <font>
      <b/>
      <sz val="12"/>
      <color theme="1"/>
      <name val="Calibri"/>
      <family val="2"/>
      <scheme val="minor"/>
    </font>
    <font>
      <b/>
      <vertAlign val="superscript"/>
      <sz val="12"/>
      <color theme="1"/>
      <name val="Calibri"/>
      <family val="2"/>
      <scheme val="minor"/>
    </font>
    <font>
      <sz val="12"/>
      <color theme="0" tint="-0.14999847407452621"/>
      <name val="Calibri"/>
      <family val="2"/>
      <scheme val="minor"/>
    </font>
    <font>
      <b/>
      <sz val="12"/>
      <color theme="1"/>
      <name val="Calibri"/>
      <family val="2"/>
    </font>
    <font>
      <i/>
      <sz val="12"/>
      <color theme="1"/>
      <name val="Calibri"/>
      <family val="2"/>
      <scheme val="minor"/>
    </font>
    <font>
      <u/>
      <sz val="11"/>
      <color theme="10"/>
      <name val="Calibri"/>
      <family val="2"/>
      <scheme val="minor"/>
    </font>
    <font>
      <i/>
      <sz val="10"/>
      <color theme="1"/>
      <name val="Calibri"/>
      <family val="2"/>
      <scheme val="minor"/>
    </font>
    <font>
      <u/>
      <sz val="10"/>
      <color theme="10"/>
      <name val="Calibri"/>
      <family val="2"/>
      <scheme val="minor"/>
    </font>
    <font>
      <sz val="10"/>
      <color theme="1"/>
      <name val="Calibri"/>
      <family val="2"/>
      <scheme val="minor"/>
    </font>
    <font>
      <b/>
      <sz val="10"/>
      <color rgb="FFBDC1C6"/>
      <name val="Roboto"/>
    </font>
    <font>
      <b/>
      <sz val="12"/>
      <color theme="9" tint="-0.499984740745262"/>
      <name val="Calibri"/>
      <family val="2"/>
      <scheme val="minor"/>
    </font>
    <font>
      <b/>
      <sz val="12"/>
      <color theme="5" tint="-0.499984740745262"/>
      <name val="Calibri"/>
      <family val="2"/>
      <scheme val="minor"/>
    </font>
    <font>
      <b/>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73">
    <xf numFmtId="0" fontId="0" fillId="0" borderId="0" xfId="0"/>
    <xf numFmtId="0" fontId="1" fillId="0" borderId="0" xfId="0" applyFont="1"/>
    <xf numFmtId="0" fontId="1" fillId="0" borderId="0" xfId="0" applyFont="1" applyBorder="1"/>
    <xf numFmtId="0" fontId="1" fillId="0" borderId="4"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1" fillId="0" borderId="0" xfId="0" applyFont="1" applyBorder="1" applyAlignment="1">
      <alignment horizontal="center" vertical="center" wrapText="1"/>
    </xf>
    <xf numFmtId="17" fontId="3" fillId="0" borderId="1" xfId="0" applyNumberFormat="1" applyFont="1" applyBorder="1" applyAlignment="1">
      <alignment horizontal="center" vertical="center"/>
    </xf>
    <xf numFmtId="0" fontId="6" fillId="0" borderId="5" xfId="0" applyFont="1" applyBorder="1" applyAlignment="1">
      <alignment horizontal="center" vertical="center" wrapText="1"/>
    </xf>
    <xf numFmtId="17" fontId="3" fillId="0" borderId="0" xfId="0" applyNumberFormat="1"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4" fontId="3" fillId="4" borderId="1" xfId="0" applyNumberFormat="1" applyFont="1" applyFill="1" applyBorder="1" applyAlignment="1">
      <alignment horizontal="center" vertical="center"/>
    </xf>
    <xf numFmtId="0" fontId="6" fillId="0" borderId="0" xfId="0" applyFont="1" applyBorder="1" applyAlignment="1">
      <alignment horizontal="center" vertical="center" wrapText="1"/>
    </xf>
    <xf numFmtId="0" fontId="8" fillId="0" borderId="0" xfId="0" applyFont="1" applyBorder="1"/>
    <xf numFmtId="164" fontId="3"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0" xfId="0" applyFont="1" applyBorder="1" applyAlignment="1">
      <alignment horizontal="left" vertical="center"/>
    </xf>
    <xf numFmtId="0" fontId="6"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xf>
    <xf numFmtId="0" fontId="6" fillId="0" borderId="1" xfId="0" applyFont="1" applyFill="1" applyBorder="1" applyAlignment="1">
      <alignment horizontal="center" wrapText="1"/>
    </xf>
    <xf numFmtId="0" fontId="4" fillId="4" borderId="1" xfId="0" applyFont="1" applyFill="1" applyBorder="1" applyAlignment="1">
      <alignment horizontal="center" vertical="center" wrapText="1"/>
    </xf>
    <xf numFmtId="0" fontId="1" fillId="0" borderId="0" xfId="0" applyFont="1" applyFill="1" applyBorder="1"/>
    <xf numFmtId="0" fontId="6" fillId="0" borderId="1" xfId="0" applyFont="1" applyFill="1" applyBorder="1" applyAlignment="1">
      <alignment horizontal="center" vertical="center"/>
    </xf>
    <xf numFmtId="3" fontId="5" fillId="3"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0" fontId="0" fillId="2" borderId="0" xfId="0" applyFill="1"/>
    <xf numFmtId="0" fontId="1" fillId="2" borderId="0" xfId="0" applyFont="1" applyFill="1"/>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10" fillId="0" borderId="2" xfId="0" applyFont="1" applyFill="1" applyBorder="1"/>
    <xf numFmtId="0" fontId="12" fillId="0" borderId="0" xfId="0" applyFont="1"/>
    <xf numFmtId="0" fontId="13" fillId="0" borderId="0" xfId="1" applyFont="1"/>
    <xf numFmtId="0" fontId="14"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xf>
    <xf numFmtId="3" fontId="5" fillId="0" borderId="1"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1" fillId="0" borderId="7" xfId="0" applyFont="1" applyBorder="1" applyAlignment="1">
      <alignment horizontal="center" vertical="center" wrapText="1"/>
    </xf>
    <xf numFmtId="0" fontId="15" fillId="0" borderId="0" xfId="0" applyFont="1"/>
    <xf numFmtId="0" fontId="15" fillId="0" borderId="0" xfId="0" applyNumberFormat="1" applyFont="1"/>
    <xf numFmtId="165" fontId="15" fillId="0" borderId="0" xfId="0" applyNumberFormat="1" applyFont="1"/>
    <xf numFmtId="0" fontId="1" fillId="0" borderId="7" xfId="0" applyFont="1" applyBorder="1" applyAlignment="1">
      <alignment horizontal="center" vertical="center"/>
    </xf>
    <xf numFmtId="4" fontId="3" fillId="4" borderId="3"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0" fillId="2" borderId="1" xfId="0" applyFill="1" applyBorder="1" applyAlignment="1">
      <alignment horizontal="center" vertical="center"/>
    </xf>
    <xf numFmtId="3" fontId="17" fillId="3" borderId="1" xfId="0" applyNumberFormat="1" applyFont="1" applyFill="1" applyBorder="1" applyAlignment="1">
      <alignment horizontal="center" vertical="center"/>
    </xf>
    <xf numFmtId="3" fontId="16" fillId="5" borderId="1" xfId="0" applyNumberFormat="1" applyFont="1" applyFill="1" applyBorder="1" applyAlignment="1">
      <alignment horizontal="center" vertical="center"/>
    </xf>
    <xf numFmtId="0" fontId="3" fillId="0" borderId="1" xfId="0" applyFont="1" applyBorder="1" applyAlignment="1">
      <alignment horizontal="lef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1" fillId="0" borderId="1" xfId="0" applyFont="1" applyBorder="1" applyAlignment="1">
      <alignment horizontal="center" vertical="center"/>
    </xf>
  </cellXfs>
  <cellStyles count="2">
    <cellStyle name="Hyperlink" xfId="1" builtinId="8"/>
    <cellStyle name="Normal" xfId="0" builtinId="0"/>
  </cellStyles>
  <dxfs count="17">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
      <font>
        <color rgb="FFC00000"/>
      </font>
      <fill>
        <patternFill>
          <bgColor rgb="FFFFCCCC"/>
        </patternFill>
      </fill>
    </dxf>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vin.Coyne@dep.state.fl.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1D6A-997E-4645-B4EC-1F6F62EA59C6}">
  <dimension ref="A1:Z66"/>
  <sheetViews>
    <sheetView tabSelected="1" workbookViewId="0">
      <pane xSplit="1" ySplit="2" topLeftCell="B3" activePane="bottomRight" state="frozen"/>
      <selection pane="topRight" activeCell="B1" sqref="B1"/>
      <selection pane="bottomLeft" activeCell="A3" sqref="A3"/>
      <selection pane="bottomRight" activeCell="D19" sqref="D19:D20"/>
    </sheetView>
  </sheetViews>
  <sheetFormatPr defaultColWidth="8.88671875" defaultRowHeight="15.6" x14ac:dyDescent="0.3"/>
  <cols>
    <col min="1" max="1" width="22.44140625" style="1" customWidth="1"/>
    <col min="2" max="2" width="17.33203125" style="1" bestFit="1" customWidth="1"/>
    <col min="3" max="3" width="17.5546875" style="1" bestFit="1" customWidth="1"/>
    <col min="4" max="4" width="13.21875" style="1" bestFit="1" customWidth="1"/>
    <col min="5" max="5" width="13.44140625" style="1" bestFit="1" customWidth="1"/>
    <col min="6" max="6" width="20.44140625" style="1" bestFit="1" customWidth="1"/>
    <col min="7" max="7" width="17.33203125" style="1" bestFit="1" customWidth="1"/>
    <col min="8" max="8" width="17.44140625" style="1" customWidth="1"/>
    <col min="9" max="9" width="15.5546875" style="1" bestFit="1" customWidth="1"/>
    <col min="10" max="11" width="15.5546875" style="1" customWidth="1"/>
    <col min="12" max="12" width="13.44140625" style="1" bestFit="1" customWidth="1"/>
    <col min="13" max="13" width="16" style="1" bestFit="1" customWidth="1"/>
    <col min="14" max="14" width="6.21875" style="1" bestFit="1" customWidth="1"/>
    <col min="15" max="15" width="10.77734375" style="1" customWidth="1"/>
    <col min="16" max="16" width="16.109375" style="1" bestFit="1" customWidth="1"/>
    <col min="17" max="17" width="16.88671875" style="1" bestFit="1" customWidth="1"/>
    <col min="18" max="18" width="16.5546875" style="1" bestFit="1" customWidth="1"/>
    <col min="19" max="19" width="16" style="1" bestFit="1" customWidth="1"/>
    <col min="20" max="20" width="13.44140625" style="1" bestFit="1" customWidth="1"/>
    <col min="21" max="21" width="18.33203125" style="1" bestFit="1" customWidth="1"/>
    <col min="22" max="22" width="18.21875" style="1" bestFit="1" customWidth="1"/>
    <col min="23" max="23" width="10.6640625" style="1" bestFit="1" customWidth="1"/>
    <col min="24" max="24" width="12.109375" style="1" bestFit="1" customWidth="1"/>
    <col min="25" max="25" width="16.88671875" style="1" bestFit="1" customWidth="1"/>
    <col min="26" max="26" width="16.5546875" style="1" bestFit="1" customWidth="1"/>
    <col min="27" max="27" width="14.44140625" style="1" bestFit="1" customWidth="1"/>
    <col min="28" max="28" width="13.44140625" style="1" bestFit="1" customWidth="1"/>
    <col min="29" max="29" width="18.33203125" style="1" bestFit="1" customWidth="1"/>
    <col min="30" max="30" width="11.88671875" style="1" bestFit="1" customWidth="1"/>
    <col min="31" max="31" width="10.6640625" style="1" customWidth="1"/>
    <col min="32" max="32" width="12.33203125" style="1" bestFit="1" customWidth="1"/>
    <col min="33" max="33" width="10.5546875" style="1" customWidth="1"/>
    <col min="34" max="34" width="10.5546875" style="1" bestFit="1" customWidth="1"/>
    <col min="35" max="16384" width="8.88671875" style="1"/>
  </cols>
  <sheetData>
    <row r="1" spans="1:26" x14ac:dyDescent="0.3">
      <c r="A1" s="44" t="s">
        <v>0</v>
      </c>
      <c r="B1" s="61" t="s">
        <v>93</v>
      </c>
      <c r="C1" s="61"/>
      <c r="D1" s="61"/>
      <c r="E1" s="61"/>
      <c r="F1" s="61"/>
      <c r="G1" s="61"/>
      <c r="H1" s="61"/>
      <c r="I1" s="61"/>
      <c r="J1" s="23"/>
      <c r="K1" s="23"/>
      <c r="L1" s="23"/>
      <c r="M1" s="23"/>
      <c r="N1" s="23"/>
      <c r="O1" s="23"/>
      <c r="P1" s="23"/>
      <c r="Q1" s="23"/>
      <c r="R1" s="23"/>
      <c r="S1" s="2"/>
      <c r="T1" s="2"/>
      <c r="U1" s="2"/>
      <c r="V1" s="2"/>
      <c r="W1" s="2"/>
      <c r="X1" s="2"/>
    </row>
    <row r="2" spans="1:26" x14ac:dyDescent="0.3">
      <c r="A2" s="44" t="s">
        <v>85</v>
      </c>
      <c r="B2" s="61" t="s">
        <v>94</v>
      </c>
      <c r="C2" s="61"/>
      <c r="D2" s="61"/>
      <c r="E2" s="61"/>
      <c r="F2" s="61"/>
      <c r="G2" s="61"/>
      <c r="H2" s="61"/>
      <c r="I2" s="61"/>
      <c r="J2" s="23"/>
      <c r="K2" s="23"/>
      <c r="L2" s="23"/>
      <c r="O2"/>
      <c r="P2"/>
      <c r="Q2"/>
      <c r="R2"/>
      <c r="S2"/>
      <c r="T2"/>
      <c r="U2" s="2"/>
      <c r="V2" s="2"/>
      <c r="W2" s="2"/>
    </row>
    <row r="3" spans="1:26" ht="31.2" x14ac:dyDescent="0.3">
      <c r="A3" s="43" t="s">
        <v>35</v>
      </c>
      <c r="B3" s="10">
        <v>44402</v>
      </c>
      <c r="C3" s="43" t="s">
        <v>86</v>
      </c>
      <c r="D3" s="10">
        <v>44583</v>
      </c>
      <c r="F3" s="43" t="s">
        <v>84</v>
      </c>
      <c r="G3" s="10">
        <v>46440</v>
      </c>
      <c r="H3" s="43" t="s">
        <v>87</v>
      </c>
      <c r="I3" s="10">
        <v>46499</v>
      </c>
      <c r="J3" s="12"/>
      <c r="K3" s="12"/>
      <c r="L3" s="12"/>
      <c r="O3" s="12"/>
      <c r="P3" s="12"/>
      <c r="Q3" s="12"/>
      <c r="R3" s="12"/>
      <c r="S3" s="17"/>
      <c r="T3" s="17"/>
      <c r="U3" s="12"/>
      <c r="V3" s="17"/>
      <c r="W3" s="12"/>
      <c r="X3" s="17"/>
      <c r="Y3" s="12"/>
    </row>
    <row r="4" spans="1:26" x14ac:dyDescent="0.3">
      <c r="A4"/>
      <c r="B4" s="2"/>
      <c r="C4" s="2"/>
      <c r="D4" s="2"/>
      <c r="E4" s="2"/>
      <c r="F4" s="2"/>
      <c r="G4" s="2"/>
      <c r="H4" s="2"/>
      <c r="I4" s="2"/>
      <c r="J4" s="2"/>
      <c r="K4" s="2"/>
      <c r="L4" s="2"/>
      <c r="M4" s="2"/>
      <c r="N4" s="2"/>
      <c r="O4" s="2"/>
      <c r="P4" s="2"/>
      <c r="Q4" s="2"/>
      <c r="R4" s="2"/>
      <c r="S4" s="2"/>
      <c r="T4" s="2"/>
      <c r="U4" s="2"/>
      <c r="V4" s="2"/>
      <c r="W4" s="2"/>
      <c r="X4" s="2"/>
      <c r="Y4" s="2"/>
    </row>
    <row r="5" spans="1:26" ht="33" x14ac:dyDescent="0.3">
      <c r="A5" s="43" t="s">
        <v>25</v>
      </c>
      <c r="B5" s="45">
        <v>9.91</v>
      </c>
      <c r="C5" s="43" t="s">
        <v>33</v>
      </c>
      <c r="D5" s="16">
        <f>B5/247</f>
        <v>4.012145748987854E-2</v>
      </c>
      <c r="E5" s="62" t="s">
        <v>99</v>
      </c>
      <c r="F5" s="62"/>
      <c r="G5" s="62"/>
      <c r="H5" s="62"/>
      <c r="I5" s="62"/>
      <c r="J5" s="55"/>
      <c r="K5" s="55"/>
      <c r="L5" s="63" t="s">
        <v>105</v>
      </c>
      <c r="M5" s="64"/>
      <c r="N5" s="64"/>
      <c r="O5" s="64"/>
      <c r="P5" s="64"/>
      <c r="Q5" s="64"/>
      <c r="R5" s="65"/>
      <c r="S5" s="44" t="s">
        <v>81</v>
      </c>
      <c r="T5" s="66" t="s">
        <v>82</v>
      </c>
      <c r="U5" s="66"/>
      <c r="V5" s="66"/>
      <c r="W5" s="66"/>
      <c r="X5" s="66"/>
      <c r="Y5" s="66"/>
      <c r="Z5" s="66"/>
    </row>
    <row r="6" spans="1:26" ht="64.2" x14ac:dyDescent="0.3">
      <c r="A6" s="11" t="s">
        <v>30</v>
      </c>
      <c r="B6" s="11" t="s">
        <v>28</v>
      </c>
      <c r="C6" s="11" t="s">
        <v>29</v>
      </c>
      <c r="D6" s="11" t="s">
        <v>100</v>
      </c>
      <c r="E6" s="11" t="s">
        <v>31</v>
      </c>
      <c r="F6" s="43" t="s">
        <v>32</v>
      </c>
      <c r="G6" s="43" t="s">
        <v>69</v>
      </c>
      <c r="H6" s="43" t="s">
        <v>75</v>
      </c>
      <c r="I6" s="43" t="s">
        <v>76</v>
      </c>
      <c r="J6" s="56" t="s">
        <v>106</v>
      </c>
      <c r="K6" s="56" t="s">
        <v>107</v>
      </c>
      <c r="L6" s="11" t="s">
        <v>100</v>
      </c>
      <c r="M6" s="43" t="s">
        <v>32</v>
      </c>
      <c r="N6" s="24" t="s">
        <v>37</v>
      </c>
      <c r="O6" s="43" t="s">
        <v>77</v>
      </c>
      <c r="P6" s="43" t="s">
        <v>78</v>
      </c>
      <c r="Q6" s="43" t="s">
        <v>101</v>
      </c>
      <c r="R6" s="43" t="s">
        <v>102</v>
      </c>
      <c r="S6" s="43" t="s">
        <v>32</v>
      </c>
      <c r="T6" s="11" t="s">
        <v>100</v>
      </c>
      <c r="U6" s="43" t="s">
        <v>32</v>
      </c>
      <c r="V6" s="24" t="s">
        <v>37</v>
      </c>
      <c r="W6" s="43" t="s">
        <v>77</v>
      </c>
      <c r="X6" s="43" t="s">
        <v>78</v>
      </c>
      <c r="Y6" s="43" t="s">
        <v>101</v>
      </c>
      <c r="Z6" s="43" t="s">
        <v>102</v>
      </c>
    </row>
    <row r="7" spans="1:26" x14ac:dyDescent="0.3">
      <c r="A7" s="45" t="s">
        <v>1</v>
      </c>
      <c r="B7" s="19">
        <v>27.85430568</v>
      </c>
      <c r="C7" s="19">
        <v>-80.492503670000005</v>
      </c>
      <c r="D7" s="20">
        <v>30</v>
      </c>
      <c r="E7" s="45" t="s">
        <v>71</v>
      </c>
      <c r="F7" s="20">
        <v>20</v>
      </c>
      <c r="G7" s="25">
        <v>12.6</v>
      </c>
      <c r="H7" s="30" cm="1">
        <f t="array" ref="H7">LOOKUP(2,1/((G7&gt;='Look up Tables'!$H$3:$H$14)*(G7&lt;='Look up Tables'!$I$3:$I$14)),'Look up Tables'!$K$3:$K$14)</f>
        <v>10000</v>
      </c>
      <c r="I7" s="30" cm="1">
        <f t="array" ref="I7">LOOKUP(2,1/((G7&gt;='Look up Tables'!$H$3:$H$14)*(G7&lt;='Look up Tables'!$I$3:$I$14)),'Look up Tables'!$L$3:$L$14)</f>
        <v>700</v>
      </c>
      <c r="J7" s="31">
        <f t="shared" ref="J7:J18" si="0">10^((LOG($H$19)/(10/($D7-$D$20)))+LOG(H7))</f>
        <v>17029.38636592641</v>
      </c>
      <c r="K7" s="31">
        <f t="shared" ref="K7:K18" si="1">10^((LOG($H$20)/(10/($D7-$D$20)))+LOG(I7))</f>
        <v>1212.4355652982156</v>
      </c>
      <c r="L7" s="20">
        <v>19</v>
      </c>
      <c r="M7" s="20">
        <v>20</v>
      </c>
      <c r="N7" s="25">
        <v>15</v>
      </c>
      <c r="O7" s="30" cm="1">
        <f t="array" ref="O7">LOOKUP(2,1/((N7&gt;='Look up Tables'!$H$3:$H$14)*(N7&lt;='Look up Tables'!$I$3:$I$14)),'Look up Tables'!$K$3:$K$14)</f>
        <v>15000</v>
      </c>
      <c r="P7" s="30" cm="1">
        <f t="array" ref="P7">LOOKUP(2,1/((N7&gt;='Look up Tables'!$H$3:$H$14)*(N7&lt;='Look up Tables'!$I$3:$I$14)),'Look up Tables'!$L$3:$L$14)</f>
        <v>1200</v>
      </c>
      <c r="Q7" s="31">
        <f t="shared" ref="Q7:Q18" si="2">10^((LOG($H$19)/(10/($L7-$D$20)))+LOG(O7))</f>
        <v>7918.6739314230645</v>
      </c>
      <c r="R7" s="31">
        <f t="shared" ref="R7:R18" si="3">10^((LOG($H$20)/(10/($L7-$D$20)))+LOG(P7))</f>
        <v>620.7382295661439</v>
      </c>
      <c r="S7" s="20">
        <v>20</v>
      </c>
      <c r="T7" s="20">
        <v>27</v>
      </c>
      <c r="U7" s="20">
        <v>30</v>
      </c>
      <c r="V7" s="25">
        <v>12</v>
      </c>
      <c r="W7" s="30" cm="1">
        <f t="array" ref="W7">LOOKUP(2,1/((V7&gt;='Look up Tables'!$H$3:$H$14)*(V7&lt;='Look up Tables'!$I$3:$I$14)),'Look up Tables'!$K$3:$K$14)</f>
        <v>10000</v>
      </c>
      <c r="X7" s="30" cm="1">
        <f t="array" ref="X7">LOOKUP(2,1/((V7&gt;='Look up Tables'!$H$3:$H$14)*(V7&lt;='Look up Tables'!$I$3:$I$14)),'Look up Tables'!$L$3:$L$14)</f>
        <v>700</v>
      </c>
      <c r="Y7" s="31">
        <f t="shared" ref="Y7:Y18" si="4">10^((LOG($H$19)/(10/($T7-$D$20)))+LOG(W7))</f>
        <v>12373.130673931302</v>
      </c>
      <c r="Z7" s="31">
        <f t="shared" ref="Z7:Z18" si="5">10^((LOG($H$20)/(10/($T7-$D$20)))+LOG(X7))</f>
        <v>872.01165773086313</v>
      </c>
    </row>
    <row r="8" spans="1:26" x14ac:dyDescent="0.3">
      <c r="A8" s="45" t="s">
        <v>2</v>
      </c>
      <c r="B8" s="19">
        <v>27.854265519999998</v>
      </c>
      <c r="C8" s="19">
        <v>-80.493583119999997</v>
      </c>
      <c r="D8" s="20">
        <v>32</v>
      </c>
      <c r="E8" s="45">
        <v>18</v>
      </c>
      <c r="F8" s="20">
        <v>55</v>
      </c>
      <c r="G8" s="25">
        <v>13.4</v>
      </c>
      <c r="H8" s="30" cm="1">
        <f t="array" ref="H8">LOOKUP(2,1/((G8&gt;='Look up Tables'!$H$3:$H$14)*(G8&lt;='Look up Tables'!$I$3:$I$14)),'Look up Tables'!$K$3:$K$14)</f>
        <v>11000</v>
      </c>
      <c r="I8" s="30" cm="1">
        <f t="array" ref="I8">LOOKUP(2,1/((G8&gt;='Look up Tables'!$H$3:$H$14)*(G8&lt;='Look up Tables'!$I$3:$I$14)),'Look up Tables'!$L$3:$L$14)</f>
        <v>800</v>
      </c>
      <c r="J8" s="31">
        <f t="shared" si="0"/>
        <v>23177.750508271831</v>
      </c>
      <c r="K8" s="31">
        <f t="shared" si="1"/>
        <v>1726.1354239796763</v>
      </c>
      <c r="L8" s="20">
        <v>20</v>
      </c>
      <c r="M8" s="20">
        <v>10</v>
      </c>
      <c r="N8" s="25">
        <v>10</v>
      </c>
      <c r="O8" s="30" cm="1">
        <f t="array" ref="O8">LOOKUP(2,1/((N8&gt;='Look up Tables'!$H$3:$H$14)*(N8&lt;='Look up Tables'!$I$3:$I$14)),'Look up Tables'!$K$3:$K$14)</f>
        <v>8000</v>
      </c>
      <c r="P8" s="30" cm="1">
        <f t="array" ref="P8">LOOKUP(2,1/((N8&gt;='Look up Tables'!$H$3:$H$14)*(N8&lt;='Look up Tables'!$I$3:$I$14)),'Look up Tables'!$L$3:$L$14)</f>
        <v>400</v>
      </c>
      <c r="Q8" s="31">
        <f t="shared" si="2"/>
        <v>4697.7617561176376</v>
      </c>
      <c r="R8" s="31">
        <f t="shared" si="3"/>
        <v>230.94010767585053</v>
      </c>
      <c r="S8" s="20">
        <v>5</v>
      </c>
      <c r="T8" s="20">
        <v>29</v>
      </c>
      <c r="U8" s="20">
        <v>30</v>
      </c>
      <c r="V8" s="25">
        <v>10</v>
      </c>
      <c r="W8" s="30" cm="1">
        <f t="array" ref="W8">LOOKUP(2,1/((V8&gt;='Look up Tables'!$H$3:$H$14)*(V8&lt;='Look up Tables'!$I$3:$I$14)),'Look up Tables'!$K$3:$K$14)</f>
        <v>8000</v>
      </c>
      <c r="X8" s="30" cm="1">
        <f t="array" ref="X8">LOOKUP(2,1/((V8&gt;='Look up Tables'!$H$3:$H$14)*(V8&lt;='Look up Tables'!$I$3:$I$14)),'Look up Tables'!$L$3:$L$14)</f>
        <v>400</v>
      </c>
      <c r="Y8" s="31">
        <f t="shared" si="4"/>
        <v>12247.549013934353</v>
      </c>
      <c r="Z8" s="31">
        <f t="shared" si="5"/>
        <v>620.73822956614447</v>
      </c>
    </row>
    <row r="9" spans="1:26" x14ac:dyDescent="0.3">
      <c r="A9" s="45" t="s">
        <v>3</v>
      </c>
      <c r="B9" s="19">
        <v>27.854063239999999</v>
      </c>
      <c r="C9" s="19">
        <v>-80.493971290000005</v>
      </c>
      <c r="D9" s="20">
        <v>32</v>
      </c>
      <c r="E9" s="45" t="s">
        <v>71</v>
      </c>
      <c r="F9" s="20">
        <v>30</v>
      </c>
      <c r="G9" s="25">
        <v>11.8</v>
      </c>
      <c r="H9" s="30" cm="1">
        <f t="array" ref="H9">LOOKUP(2,1/((G9&gt;='Look up Tables'!$H$3:$H$14)*(G9&lt;='Look up Tables'!$I$3:$I$14)),'Look up Tables'!$K$3:$K$14)</f>
        <v>9000</v>
      </c>
      <c r="I9" s="30" cm="1">
        <f t="array" ref="I9">LOOKUP(2,1/((G9&gt;='Look up Tables'!$H$3:$H$14)*(G9&lt;='Look up Tables'!$I$3:$I$14)),'Look up Tables'!$L$3:$L$14)</f>
        <v>500</v>
      </c>
      <c r="J9" s="31">
        <f t="shared" si="0"/>
        <v>18963.614052222416</v>
      </c>
      <c r="K9" s="31">
        <f t="shared" si="1"/>
        <v>1078.8346399872964</v>
      </c>
      <c r="L9" s="20">
        <v>21</v>
      </c>
      <c r="M9" s="20">
        <v>0</v>
      </c>
      <c r="N9" s="25">
        <v>3.5</v>
      </c>
      <c r="O9" s="30" cm="1">
        <f t="array" ref="O9">LOOKUP(2,1/((N9&gt;='Look up Tables'!$H$3:$H$14)*(N9&lt;='Look up Tables'!$I$3:$I$14)),'Look up Tables'!$K$3:$K$14)</f>
        <v>2100</v>
      </c>
      <c r="P9" s="30" cm="1">
        <f t="array" ref="P9">LOOKUP(2,1/((N9&gt;='Look up Tables'!$H$3:$H$14)*(N9&lt;='Look up Tables'!$I$3:$I$14)),'Look up Tables'!$L$3:$L$14)</f>
        <v>200</v>
      </c>
      <c r="Q9" s="31">
        <f t="shared" si="2"/>
        <v>1371.7030224485109</v>
      </c>
      <c r="R9" s="31">
        <f t="shared" si="3"/>
        <v>128.87880299545088</v>
      </c>
      <c r="S9" s="20">
        <v>10</v>
      </c>
      <c r="T9" s="20">
        <v>29</v>
      </c>
      <c r="U9" s="20">
        <v>30</v>
      </c>
      <c r="V9" s="25">
        <v>11</v>
      </c>
      <c r="W9" s="30" cm="1">
        <f t="array" ref="W9">LOOKUP(2,1/((V9&gt;='Look up Tables'!$H$3:$H$14)*(V9&lt;='Look up Tables'!$I$3:$I$14)),'Look up Tables'!$K$3:$K$14)</f>
        <v>9000</v>
      </c>
      <c r="X9" s="30" cm="1">
        <f t="array" ref="X9">LOOKUP(2,1/((V9&gt;='Look up Tables'!$H$3:$H$14)*(V9&lt;='Look up Tables'!$I$3:$I$14)),'Look up Tables'!$L$3:$L$14)</f>
        <v>500</v>
      </c>
      <c r="Y9" s="31">
        <f t="shared" si="4"/>
        <v>13778.492640676151</v>
      </c>
      <c r="Z9" s="31">
        <f t="shared" si="5"/>
        <v>775.9227869576805</v>
      </c>
    </row>
    <row r="10" spans="1:26" x14ac:dyDescent="0.3">
      <c r="A10" s="45" t="s">
        <v>4</v>
      </c>
      <c r="B10" s="19">
        <v>27.853761819999999</v>
      </c>
      <c r="C10" s="19">
        <v>-80.493434640000004</v>
      </c>
      <c r="D10" s="20">
        <v>30</v>
      </c>
      <c r="E10" s="45" t="s">
        <v>71</v>
      </c>
      <c r="F10" s="20">
        <v>45</v>
      </c>
      <c r="G10" s="25">
        <v>11</v>
      </c>
      <c r="H10" s="30" cm="1">
        <f t="array" ref="H10">LOOKUP(2,1/((G10&gt;='Look up Tables'!$H$3:$H$14)*(G10&lt;='Look up Tables'!$I$3:$I$14)),'Look up Tables'!$K$3:$K$14)</f>
        <v>9000</v>
      </c>
      <c r="I10" s="30" cm="1">
        <f t="array" ref="I10">LOOKUP(2,1/((G10&gt;='Look up Tables'!$H$3:$H$14)*(G10&lt;='Look up Tables'!$I$3:$I$14)),'Look up Tables'!$L$3:$L$14)</f>
        <v>500</v>
      </c>
      <c r="J10" s="31">
        <f t="shared" si="0"/>
        <v>15326.44772933379</v>
      </c>
      <c r="K10" s="31">
        <f t="shared" si="1"/>
        <v>866.02540378443894</v>
      </c>
      <c r="L10" s="20">
        <v>19</v>
      </c>
      <c r="M10" s="20">
        <v>10</v>
      </c>
      <c r="N10" s="25">
        <v>3</v>
      </c>
      <c r="O10" s="30" cm="1">
        <f t="array" ref="O10">LOOKUP(2,1/((N10&gt;='Look up Tables'!$H$3:$H$14)*(N10&lt;='Look up Tables'!$I$3:$I$14)),'Look up Tables'!$K$3:$K$14)</f>
        <v>2100</v>
      </c>
      <c r="P10" s="30" cm="1">
        <f t="array" ref="P10">LOOKUP(2,1/((N10&gt;='Look up Tables'!$H$3:$H$14)*(N10&lt;='Look up Tables'!$I$3:$I$14)),'Look up Tables'!$L$3:$L$14)</f>
        <v>200</v>
      </c>
      <c r="Q10" s="31">
        <f t="shared" si="2"/>
        <v>1108.6143503992287</v>
      </c>
      <c r="R10" s="31">
        <f t="shared" si="3"/>
        <v>103.45637159435746</v>
      </c>
      <c r="S10" s="20">
        <v>5</v>
      </c>
      <c r="T10" s="20">
        <v>27</v>
      </c>
      <c r="U10" s="20">
        <v>34</v>
      </c>
      <c r="V10" s="25">
        <v>10</v>
      </c>
      <c r="W10" s="30" cm="1">
        <f t="array" ref="W10">LOOKUP(2,1/((V10&gt;='Look up Tables'!$H$3:$H$14)*(V10&lt;='Look up Tables'!$I$3:$I$14)),'Look up Tables'!$K$3:$K$14)</f>
        <v>8000</v>
      </c>
      <c r="X10" s="30" cm="1">
        <f t="array" ref="X10">LOOKUP(2,1/((V10&gt;='Look up Tables'!$H$3:$H$14)*(V10&lt;='Look up Tables'!$I$3:$I$14)),'Look up Tables'!$L$3:$L$14)</f>
        <v>400</v>
      </c>
      <c r="Y10" s="31">
        <f t="shared" si="4"/>
        <v>9898.504539145033</v>
      </c>
      <c r="Z10" s="31">
        <f t="shared" si="5"/>
        <v>498.29237584620751</v>
      </c>
    </row>
    <row r="11" spans="1:26" x14ac:dyDescent="0.3">
      <c r="A11" s="45" t="s">
        <v>5</v>
      </c>
      <c r="B11" s="19">
        <v>27.853438440000001</v>
      </c>
      <c r="C11" s="19">
        <v>-80.493977860000001</v>
      </c>
      <c r="D11" s="20">
        <v>30</v>
      </c>
      <c r="E11" s="45" t="s">
        <v>71</v>
      </c>
      <c r="F11" s="20">
        <v>50</v>
      </c>
      <c r="G11" s="25">
        <v>11.9</v>
      </c>
      <c r="H11" s="30" cm="1">
        <f t="array" ref="H11">LOOKUP(2,1/((G11&gt;='Look up Tables'!$H$3:$H$14)*(G11&lt;='Look up Tables'!$I$3:$I$14)),'Look up Tables'!$K$3:$K$14)</f>
        <v>9000</v>
      </c>
      <c r="I11" s="30" cm="1">
        <f t="array" ref="I11">LOOKUP(2,1/((G11&gt;='Look up Tables'!$H$3:$H$14)*(G11&lt;='Look up Tables'!$I$3:$I$14)),'Look up Tables'!$L$3:$L$14)</f>
        <v>500</v>
      </c>
      <c r="J11" s="31">
        <f t="shared" si="0"/>
        <v>15326.44772933379</v>
      </c>
      <c r="K11" s="31">
        <f t="shared" si="1"/>
        <v>866.02540378443894</v>
      </c>
      <c r="L11" s="20">
        <v>19</v>
      </c>
      <c r="M11" s="20">
        <v>0</v>
      </c>
      <c r="N11" s="25">
        <v>2.5</v>
      </c>
      <c r="O11" s="30" cm="1">
        <f t="array" ref="O11">LOOKUP(2,1/((N11&gt;='Look up Tables'!$H$3:$H$14)*(N11&lt;='Look up Tables'!$I$3:$I$14)),'Look up Tables'!$K$3:$K$14)</f>
        <v>2100</v>
      </c>
      <c r="P11" s="30" cm="1">
        <f t="array" ref="P11">LOOKUP(2,1/((N11&gt;='Look up Tables'!$H$3:$H$14)*(N11&lt;='Look up Tables'!$I$3:$I$14)),'Look up Tables'!$L$3:$L$14)</f>
        <v>200</v>
      </c>
      <c r="Q11" s="31">
        <f t="shared" si="2"/>
        <v>1108.6143503992287</v>
      </c>
      <c r="R11" s="31">
        <f t="shared" si="3"/>
        <v>103.45637159435746</v>
      </c>
      <c r="S11" s="20">
        <v>10</v>
      </c>
      <c r="T11" s="20">
        <v>27</v>
      </c>
      <c r="U11" s="20">
        <v>32</v>
      </c>
      <c r="V11" s="25">
        <v>12</v>
      </c>
      <c r="W11" s="30" cm="1">
        <f t="array" ref="W11">LOOKUP(2,1/((V11&gt;='Look up Tables'!$H$3:$H$14)*(V11&lt;='Look up Tables'!$I$3:$I$14)),'Look up Tables'!$K$3:$K$14)</f>
        <v>10000</v>
      </c>
      <c r="X11" s="30" cm="1">
        <f t="array" ref="X11">LOOKUP(2,1/((V11&gt;='Look up Tables'!$H$3:$H$14)*(V11&lt;='Look up Tables'!$I$3:$I$14)),'Look up Tables'!$L$3:$L$14)</f>
        <v>700</v>
      </c>
      <c r="Y11" s="31">
        <f t="shared" si="4"/>
        <v>12373.130673931302</v>
      </c>
      <c r="Z11" s="31">
        <f t="shared" si="5"/>
        <v>872.01165773086313</v>
      </c>
    </row>
    <row r="12" spans="1:26" x14ac:dyDescent="0.3">
      <c r="A12" s="45" t="s">
        <v>6</v>
      </c>
      <c r="B12" s="19">
        <v>27.85365487</v>
      </c>
      <c r="C12" s="19">
        <v>-80.494415259999997</v>
      </c>
      <c r="D12" s="20">
        <v>34</v>
      </c>
      <c r="E12" s="45" t="s">
        <v>71</v>
      </c>
      <c r="F12" s="20">
        <v>40</v>
      </c>
      <c r="G12" s="25">
        <v>10.1</v>
      </c>
      <c r="H12" s="30" cm="1">
        <f t="array" ref="H12">LOOKUP(2,1/((G12&gt;='Look up Tables'!$H$3:$H$14)*(G12&lt;='Look up Tables'!$I$3:$I$14)),'Look up Tables'!$K$3:$K$14)</f>
        <v>8000</v>
      </c>
      <c r="I12" s="30" cm="1">
        <f t="array" ref="I12">LOOKUP(2,1/((G12&gt;='Look up Tables'!$H$3:$H$14)*(G12&lt;='Look up Tables'!$I$3:$I$14)),'Look up Tables'!$L$3:$L$14)</f>
        <v>400</v>
      </c>
      <c r="J12" s="31">
        <f t="shared" si="0"/>
        <v>20856.824419390894</v>
      </c>
      <c r="K12" s="31">
        <f t="shared" si="1"/>
        <v>1075.1501518089153</v>
      </c>
      <c r="L12" s="20">
        <v>22</v>
      </c>
      <c r="M12" s="20">
        <v>5</v>
      </c>
      <c r="N12" s="25">
        <v>7</v>
      </c>
      <c r="O12" s="30" cm="1">
        <f t="array" ref="O12">LOOKUP(2,1/((N12&gt;='Look up Tables'!$H$3:$H$14)*(N12&lt;='Look up Tables'!$I$3:$I$14)),'Look up Tables'!$K$3:$K$14)</f>
        <v>2100</v>
      </c>
      <c r="P12" s="30" cm="1">
        <f t="array" ref="P12">LOOKUP(2,1/((N12&gt;='Look up Tables'!$H$3:$H$14)*(N12&lt;='Look up Tables'!$I$3:$I$14)),'Look up Tables'!$L$3:$L$14)</f>
        <v>200</v>
      </c>
      <c r="Q12" s="31">
        <f t="shared" si="2"/>
        <v>1525.8080271903095</v>
      </c>
      <c r="R12" s="31">
        <f t="shared" si="3"/>
        <v>143.84461866497296</v>
      </c>
      <c r="S12" s="20">
        <v>10</v>
      </c>
      <c r="T12" s="20">
        <v>30</v>
      </c>
      <c r="U12" s="20">
        <v>31</v>
      </c>
      <c r="V12" s="25">
        <v>10</v>
      </c>
      <c r="W12" s="30" cm="1">
        <f t="array" ref="W12">LOOKUP(2,1/((V12&gt;='Look up Tables'!$H$3:$H$14)*(V12&lt;='Look up Tables'!$I$3:$I$14)),'Look up Tables'!$K$3:$K$14)</f>
        <v>8000</v>
      </c>
      <c r="X12" s="30" cm="1">
        <f t="array" ref="X12">LOOKUP(2,1/((V12&gt;='Look up Tables'!$H$3:$H$14)*(V12&lt;='Look up Tables'!$I$3:$I$14)),'Look up Tables'!$L$3:$L$14)</f>
        <v>400</v>
      </c>
      <c r="Y12" s="31">
        <f t="shared" si="4"/>
        <v>13623.509092741142</v>
      </c>
      <c r="Z12" s="31">
        <f t="shared" si="5"/>
        <v>692.82032302755181</v>
      </c>
    </row>
    <row r="13" spans="1:26" x14ac:dyDescent="0.3">
      <c r="A13" s="45" t="s">
        <v>7</v>
      </c>
      <c r="B13" s="19">
        <v>27.853299450000002</v>
      </c>
      <c r="C13" s="19">
        <v>-80.495020969999999</v>
      </c>
      <c r="D13" s="20">
        <v>31</v>
      </c>
      <c r="E13" s="45" t="s">
        <v>71</v>
      </c>
      <c r="F13" s="20">
        <v>10</v>
      </c>
      <c r="G13" s="25">
        <v>11.5</v>
      </c>
      <c r="H13" s="30" cm="1">
        <f t="array" ref="H13">LOOKUP(2,1/((G13&gt;='Look up Tables'!$H$3:$H$14)*(G13&lt;='Look up Tables'!$I$3:$I$14)),'Look up Tables'!$K$3:$K$14)</f>
        <v>9000</v>
      </c>
      <c r="I13" s="30" cm="1">
        <f t="array" ref="I13">LOOKUP(2,1/((G13&gt;='Look up Tables'!$H$3:$H$14)*(G13&lt;='Look up Tables'!$I$3:$I$14)),'Look up Tables'!$L$3:$L$14)</f>
        <v>500</v>
      </c>
      <c r="J13" s="31">
        <f t="shared" si="0"/>
        <v>17048.308993288632</v>
      </c>
      <c r="K13" s="31">
        <f t="shared" si="1"/>
        <v>966.59102246588111</v>
      </c>
      <c r="L13" s="20">
        <v>19</v>
      </c>
      <c r="M13" s="20">
        <v>0</v>
      </c>
      <c r="N13" s="25">
        <v>1.9</v>
      </c>
      <c r="O13" s="30" cm="1">
        <f t="array" ref="O13">LOOKUP(2,1/((N13&gt;='Look up Tables'!$H$3:$H$14)*(N13&lt;='Look up Tables'!$I$3:$I$14)),'Look up Tables'!$K$3:$K$14)</f>
        <v>2100</v>
      </c>
      <c r="P13" s="30" cm="1">
        <f t="array" ref="P13">LOOKUP(2,1/((N13&gt;='Look up Tables'!$H$3:$H$14)*(N13&lt;='Look up Tables'!$I$3:$I$14)),'Look up Tables'!$L$3:$L$14)</f>
        <v>200</v>
      </c>
      <c r="Q13" s="31">
        <f t="shared" si="2"/>
        <v>1108.6143503992287</v>
      </c>
      <c r="R13" s="31">
        <f t="shared" si="3"/>
        <v>103.45637159435746</v>
      </c>
      <c r="S13" s="20">
        <v>10</v>
      </c>
      <c r="T13" s="20">
        <v>28</v>
      </c>
      <c r="U13" s="20">
        <v>35</v>
      </c>
      <c r="V13" s="25">
        <v>10.5</v>
      </c>
      <c r="W13" s="30" cm="1">
        <f t="array" ref="W13">LOOKUP(2,1/((V13&gt;='Look up Tables'!$H$3:$H$14)*(V13&lt;='Look up Tables'!$I$3:$I$14)),'Look up Tables'!$K$3:$K$14)</f>
        <v>8000</v>
      </c>
      <c r="X13" s="30" cm="1">
        <f t="array" ref="X13">LOOKUP(2,1/((V13&gt;='Look up Tables'!$H$3:$H$14)*(V13&lt;='Look up Tables'!$I$3:$I$14)),'Look up Tables'!$L$3:$L$14)</f>
        <v>400</v>
      </c>
      <c r="Y13" s="31">
        <f t="shared" si="4"/>
        <v>11010.559454806575</v>
      </c>
      <c r="Z13" s="31">
        <f t="shared" si="5"/>
        <v>556.15566812636405</v>
      </c>
    </row>
    <row r="14" spans="1:26" x14ac:dyDescent="0.3">
      <c r="A14" s="45" t="s">
        <v>12</v>
      </c>
      <c r="B14" s="19">
        <v>27.852933</v>
      </c>
      <c r="C14" s="19">
        <v>-80.494731999999999</v>
      </c>
      <c r="D14" s="20">
        <v>29</v>
      </c>
      <c r="E14" s="45">
        <v>25</v>
      </c>
      <c r="F14" s="20">
        <v>30</v>
      </c>
      <c r="G14" s="25">
        <v>14.3</v>
      </c>
      <c r="H14" s="30" cm="1">
        <f t="array" ref="H14">LOOKUP(2,1/((G14&gt;='Look up Tables'!$H$3:$H$14)*(G14&lt;='Look up Tables'!$I$3:$I$14)),'Look up Tables'!$K$3:$K$14)</f>
        <v>13000</v>
      </c>
      <c r="I14" s="30" cm="1">
        <f t="array" ref="I14">LOOKUP(2,1/((G14&gt;='Look up Tables'!$H$3:$H$14)*(G14&lt;='Look up Tables'!$I$3:$I$14)),'Look up Tables'!$L$3:$L$14)</f>
        <v>1000</v>
      </c>
      <c r="J14" s="31">
        <f t="shared" si="0"/>
        <v>19902.26714764331</v>
      </c>
      <c r="K14" s="31">
        <f t="shared" si="1"/>
        <v>1551.8455739153612</v>
      </c>
      <c r="L14" s="20">
        <v>18</v>
      </c>
      <c r="M14" s="20">
        <v>0</v>
      </c>
      <c r="N14" s="25">
        <v>2.6</v>
      </c>
      <c r="O14" s="30" cm="1">
        <f t="array" ref="O14">LOOKUP(2,1/((N14&gt;='Look up Tables'!$H$3:$H$14)*(N14&lt;='Look up Tables'!$I$3:$I$14)),'Look up Tables'!$K$3:$K$14)</f>
        <v>2100</v>
      </c>
      <c r="P14" s="30" cm="1">
        <f t="array" ref="P14">LOOKUP(2,1/((N14&gt;='Look up Tables'!$H$3:$H$14)*(N14&lt;='Look up Tables'!$I$3:$I$14)),'Look up Tables'!$L$3:$L$14)</f>
        <v>200</v>
      </c>
      <c r="Q14" s="31">
        <f t="shared" si="2"/>
        <v>996.64546789197323</v>
      </c>
      <c r="R14" s="31">
        <f t="shared" si="3"/>
        <v>92.692611354393975</v>
      </c>
      <c r="S14" s="20">
        <v>20</v>
      </c>
      <c r="T14" s="20">
        <v>28</v>
      </c>
      <c r="U14" s="20">
        <v>31</v>
      </c>
      <c r="V14" s="25">
        <v>11.3</v>
      </c>
      <c r="W14" s="30" cm="1">
        <f t="array" ref="W14">LOOKUP(2,1/((V14&gt;='Look up Tables'!$H$3:$H$14)*(V14&lt;='Look up Tables'!$I$3:$I$14)),'Look up Tables'!$K$3:$K$14)</f>
        <v>9000</v>
      </c>
      <c r="X14" s="30" cm="1">
        <f t="array" ref="X14">LOOKUP(2,1/((V14&gt;='Look up Tables'!$H$3:$H$14)*(V14&lt;='Look up Tables'!$I$3:$I$14)),'Look up Tables'!$L$3:$L$14)</f>
        <v>500</v>
      </c>
      <c r="Y14" s="31">
        <f t="shared" si="4"/>
        <v>12386.879386657401</v>
      </c>
      <c r="Z14" s="31">
        <f t="shared" si="5"/>
        <v>695.19458515795509</v>
      </c>
    </row>
    <row r="15" spans="1:26" x14ac:dyDescent="0.3">
      <c r="A15" s="45" t="s">
        <v>8</v>
      </c>
      <c r="B15" s="19">
        <v>27.852655439999999</v>
      </c>
      <c r="C15" s="19">
        <v>-80.494377470000003</v>
      </c>
      <c r="D15" s="20">
        <v>30</v>
      </c>
      <c r="E15" s="45" t="s">
        <v>71</v>
      </c>
      <c r="F15" s="20">
        <v>25</v>
      </c>
      <c r="G15" s="25">
        <v>9.9</v>
      </c>
      <c r="H15" s="30" cm="1">
        <f t="array" ref="H15">LOOKUP(2,1/((G15&gt;='Look up Tables'!$H$3:$H$14)*(G15&lt;='Look up Tables'!$I$3:$I$14)),'Look up Tables'!$K$3:$K$14)</f>
        <v>2100</v>
      </c>
      <c r="I15" s="30" cm="1">
        <f t="array" ref="I15">LOOKUP(2,1/((G15&gt;='Look up Tables'!$H$3:$H$14)*(G15&lt;='Look up Tables'!$I$3:$I$14)),'Look up Tables'!$L$3:$L$14)</f>
        <v>200</v>
      </c>
      <c r="J15" s="31">
        <f t="shared" si="0"/>
        <v>3576.1711368445494</v>
      </c>
      <c r="K15" s="31">
        <f t="shared" si="1"/>
        <v>346.41016151377585</v>
      </c>
      <c r="L15" s="20">
        <v>19</v>
      </c>
      <c r="M15" s="20">
        <v>0</v>
      </c>
      <c r="N15" s="25">
        <v>1.3</v>
      </c>
      <c r="O15" s="30" cm="1">
        <f t="array" ref="O15">LOOKUP(2,1/((N15&gt;='Look up Tables'!$H$3:$H$14)*(N15&lt;='Look up Tables'!$I$3:$I$14)),'Look up Tables'!$K$3:$K$14)</f>
        <v>2100</v>
      </c>
      <c r="P15" s="30" cm="1">
        <f t="array" ref="P15">LOOKUP(2,1/((N15&gt;='Look up Tables'!$H$3:$H$14)*(N15&lt;='Look up Tables'!$I$3:$I$14)),'Look up Tables'!$L$3:$L$14)</f>
        <v>200</v>
      </c>
      <c r="Q15" s="31">
        <f t="shared" si="2"/>
        <v>1108.6143503992287</v>
      </c>
      <c r="R15" s="31">
        <f t="shared" si="3"/>
        <v>103.45637159435746</v>
      </c>
      <c r="S15" s="20">
        <v>10</v>
      </c>
      <c r="T15" s="20">
        <v>27</v>
      </c>
      <c r="U15" s="20">
        <v>31</v>
      </c>
      <c r="V15" s="25">
        <v>10.8</v>
      </c>
      <c r="W15" s="30" cm="1">
        <f t="array" ref="W15">LOOKUP(2,1/((V15&gt;='Look up Tables'!$H$3:$H$14)*(V15&lt;='Look up Tables'!$I$3:$I$14)),'Look up Tables'!$K$3:$K$14)</f>
        <v>8000</v>
      </c>
      <c r="X15" s="30" cm="1">
        <f t="array" ref="X15">LOOKUP(2,1/((V15&gt;='Look up Tables'!$H$3:$H$14)*(V15&lt;='Look up Tables'!$I$3:$I$14)),'Look up Tables'!$L$3:$L$14)</f>
        <v>400</v>
      </c>
      <c r="Y15" s="31">
        <f t="shared" si="4"/>
        <v>9898.504539145033</v>
      </c>
      <c r="Z15" s="31">
        <f t="shared" si="5"/>
        <v>498.29237584620751</v>
      </c>
    </row>
    <row r="16" spans="1:26" x14ac:dyDescent="0.3">
      <c r="A16" s="45" t="s">
        <v>9</v>
      </c>
      <c r="B16" s="19">
        <v>27.854068999999999</v>
      </c>
      <c r="C16" s="19">
        <v>-80.493215000000006</v>
      </c>
      <c r="D16" s="20">
        <v>30</v>
      </c>
      <c r="E16" s="45" t="s">
        <v>71</v>
      </c>
      <c r="F16" s="20">
        <v>55</v>
      </c>
      <c r="G16" s="25">
        <v>8.1</v>
      </c>
      <c r="H16" s="30" cm="1">
        <f t="array" ref="H16">LOOKUP(2,1/((G16&gt;='Look up Tables'!$H$3:$H$14)*(G16&lt;='Look up Tables'!$I$3:$I$14)),'Look up Tables'!$K$3:$K$14)</f>
        <v>2100</v>
      </c>
      <c r="I16" s="30" cm="1">
        <f t="array" ref="I16">LOOKUP(2,1/((G16&gt;='Look up Tables'!$H$3:$H$14)*(G16&lt;='Look up Tables'!$I$3:$I$14)),'Look up Tables'!$L$3:$L$14)</f>
        <v>200</v>
      </c>
      <c r="J16" s="31">
        <f t="shared" si="0"/>
        <v>3576.1711368445494</v>
      </c>
      <c r="K16" s="31">
        <f t="shared" si="1"/>
        <v>346.41016151377585</v>
      </c>
      <c r="L16" s="20">
        <v>19</v>
      </c>
      <c r="M16" s="20">
        <v>0</v>
      </c>
      <c r="N16" s="25">
        <v>1.2</v>
      </c>
      <c r="O16" s="30" cm="1">
        <f t="array" ref="O16">LOOKUP(2,1/((N16&gt;='Look up Tables'!$H$3:$H$14)*(N16&lt;='Look up Tables'!$I$3:$I$14)),'Look up Tables'!$K$3:$K$14)</f>
        <v>2100</v>
      </c>
      <c r="P16" s="30" cm="1">
        <f t="array" ref="P16">LOOKUP(2,1/((N16&gt;='Look up Tables'!$H$3:$H$14)*(N16&lt;='Look up Tables'!$I$3:$I$14)),'Look up Tables'!$L$3:$L$14)</f>
        <v>200</v>
      </c>
      <c r="Q16" s="31">
        <f t="shared" si="2"/>
        <v>1108.6143503992287</v>
      </c>
      <c r="R16" s="31">
        <f t="shared" si="3"/>
        <v>103.45637159435746</v>
      </c>
      <c r="S16" s="20">
        <v>0</v>
      </c>
      <c r="T16" s="20">
        <v>27</v>
      </c>
      <c r="U16" s="20">
        <v>25</v>
      </c>
      <c r="V16" s="25">
        <v>8</v>
      </c>
      <c r="W16" s="30" cm="1">
        <f t="array" ref="W16">LOOKUP(2,1/((V16&gt;='Look up Tables'!$H$3:$H$14)*(V16&lt;='Look up Tables'!$I$3:$I$14)),'Look up Tables'!$K$3:$K$14)</f>
        <v>2100</v>
      </c>
      <c r="X16" s="30" cm="1">
        <f t="array" ref="X16">LOOKUP(2,1/((V16&gt;='Look up Tables'!$H$3:$H$14)*(V16&lt;='Look up Tables'!$I$3:$I$14)),'Look up Tables'!$L$3:$L$14)</f>
        <v>200</v>
      </c>
      <c r="Y16" s="31">
        <f t="shared" si="4"/>
        <v>2598.3574415255689</v>
      </c>
      <c r="Z16" s="31">
        <f t="shared" si="5"/>
        <v>249.14618792310375</v>
      </c>
    </row>
    <row r="17" spans="1:26" x14ac:dyDescent="0.3">
      <c r="A17" s="45" t="s">
        <v>10</v>
      </c>
      <c r="B17" s="19">
        <v>27.85401306</v>
      </c>
      <c r="C17" s="19">
        <v>-80.492865530000003</v>
      </c>
      <c r="D17" s="20">
        <v>31</v>
      </c>
      <c r="E17" s="45" t="s">
        <v>71</v>
      </c>
      <c r="F17" s="20">
        <v>70</v>
      </c>
      <c r="G17" s="25">
        <v>14.6</v>
      </c>
      <c r="H17" s="30" cm="1">
        <f t="array" ref="H17">LOOKUP(2,1/((G17&gt;='Look up Tables'!$H$3:$H$14)*(G17&lt;='Look up Tables'!$I$3:$I$14)),'Look up Tables'!$K$3:$K$14)</f>
        <v>13000</v>
      </c>
      <c r="I17" s="30" cm="1">
        <f t="array" ref="I17">LOOKUP(2,1/((G17&gt;='Look up Tables'!$H$3:$H$14)*(G17&lt;='Look up Tables'!$I$3:$I$14)),'Look up Tables'!$L$3:$L$14)</f>
        <v>1000</v>
      </c>
      <c r="J17" s="31">
        <f t="shared" si="0"/>
        <v>24625.335212528043</v>
      </c>
      <c r="K17" s="31">
        <f t="shared" si="1"/>
        <v>1933.1820449317622</v>
      </c>
      <c r="L17" s="20">
        <v>20</v>
      </c>
      <c r="M17" s="20">
        <v>9</v>
      </c>
      <c r="N17" s="25">
        <v>10</v>
      </c>
      <c r="O17" s="30" cm="1">
        <f t="array" ref="O17">LOOKUP(2,1/((N17&gt;='Look up Tables'!$H$3:$H$14)*(N17&lt;='Look up Tables'!$I$3:$I$14)),'Look up Tables'!$K$3:$K$14)</f>
        <v>8000</v>
      </c>
      <c r="P17" s="30" cm="1">
        <f t="array" ref="P17">LOOKUP(2,1/((N17&gt;='Look up Tables'!$H$3:$H$14)*(N17&lt;='Look up Tables'!$I$3:$I$14)),'Look up Tables'!$L$3:$L$14)</f>
        <v>400</v>
      </c>
      <c r="Q17" s="31">
        <f t="shared" si="2"/>
        <v>4697.7617561176376</v>
      </c>
      <c r="R17" s="31">
        <f t="shared" si="3"/>
        <v>230.94010767585053</v>
      </c>
      <c r="S17" s="20">
        <v>20</v>
      </c>
      <c r="T17" s="20">
        <v>28</v>
      </c>
      <c r="U17" s="20">
        <v>20</v>
      </c>
      <c r="V17" s="25">
        <v>8</v>
      </c>
      <c r="W17" s="30" cm="1">
        <f t="array" ref="W17">LOOKUP(2,1/((V17&gt;='Look up Tables'!$H$3:$H$14)*(V17&lt;='Look up Tables'!$I$3:$I$14)),'Look up Tables'!$K$3:$K$14)</f>
        <v>2100</v>
      </c>
      <c r="X17" s="30" cm="1">
        <f t="array" ref="X17">LOOKUP(2,1/((V17&gt;='Look up Tables'!$H$3:$H$14)*(V17&lt;='Look up Tables'!$I$3:$I$14)),'Look up Tables'!$L$3:$L$14)</f>
        <v>200</v>
      </c>
      <c r="Y17" s="31">
        <f t="shared" si="4"/>
        <v>2890.2718568867231</v>
      </c>
      <c r="Z17" s="31">
        <f t="shared" si="5"/>
        <v>278.07783406318202</v>
      </c>
    </row>
    <row r="18" spans="1:26" x14ac:dyDescent="0.3">
      <c r="A18" s="45" t="s">
        <v>11</v>
      </c>
      <c r="B18" s="19">
        <v>27.854620000000001</v>
      </c>
      <c r="C18" s="19">
        <v>-80.492840000000001</v>
      </c>
      <c r="D18" s="20">
        <v>34</v>
      </c>
      <c r="E18" s="45" t="s">
        <v>71</v>
      </c>
      <c r="F18" s="20">
        <v>30</v>
      </c>
      <c r="G18" s="25">
        <v>14</v>
      </c>
      <c r="H18" s="30" cm="1">
        <f t="array" ref="H18">LOOKUP(2,1/((G18&gt;='Look up Tables'!$H$3:$H$14)*(G18&lt;='Look up Tables'!$I$3:$I$14)),'Look up Tables'!$K$3:$K$14)</f>
        <v>13000</v>
      </c>
      <c r="I18" s="30" cm="1">
        <f t="array" ref="I18">LOOKUP(2,1/((G18&gt;='Look up Tables'!$H$3:$H$14)*(G18&lt;='Look up Tables'!$I$3:$I$14)),'Look up Tables'!$L$3:$L$14)</f>
        <v>1000</v>
      </c>
      <c r="J18" s="31">
        <f t="shared" si="0"/>
        <v>33892.339681510181</v>
      </c>
      <c r="K18" s="31">
        <f t="shared" si="1"/>
        <v>2687.8753795222883</v>
      </c>
      <c r="L18" s="20">
        <v>22</v>
      </c>
      <c r="M18" s="20">
        <v>20</v>
      </c>
      <c r="N18" s="25">
        <v>14</v>
      </c>
      <c r="O18" s="30" cm="1">
        <f t="array" ref="O18">LOOKUP(2,1/((N18&gt;='Look up Tables'!$H$3:$H$14)*(N18&lt;='Look up Tables'!$I$3:$I$14)),'Look up Tables'!$K$3:$K$14)</f>
        <v>13000</v>
      </c>
      <c r="P18" s="30" cm="1">
        <f t="array" ref="P18">LOOKUP(2,1/((N18&gt;='Look up Tables'!$H$3:$H$14)*(N18&lt;='Look up Tables'!$I$3:$I$14)),'Look up Tables'!$L$3:$L$14)</f>
        <v>1000</v>
      </c>
      <c r="Q18" s="31">
        <f t="shared" si="2"/>
        <v>9445.4782635590691</v>
      </c>
      <c r="R18" s="31">
        <f t="shared" si="3"/>
        <v>719.22309332486486</v>
      </c>
      <c r="S18" s="20">
        <v>30</v>
      </c>
      <c r="T18" s="20">
        <v>30</v>
      </c>
      <c r="U18" s="20">
        <v>20</v>
      </c>
      <c r="V18" s="25">
        <v>8</v>
      </c>
      <c r="W18" s="30" cm="1">
        <f t="array" ref="W18">LOOKUP(2,1/((V18&gt;='Look up Tables'!$H$3:$H$14)*(V18&lt;='Look up Tables'!$I$3:$I$14)),'Look up Tables'!$K$3:$K$14)</f>
        <v>2100</v>
      </c>
      <c r="X18" s="30" cm="1">
        <f t="array" ref="X18">LOOKUP(2,1/((V18&gt;='Look up Tables'!$H$3:$H$14)*(V18&lt;='Look up Tables'!$I$3:$I$14)),'Look up Tables'!$L$3:$L$14)</f>
        <v>200</v>
      </c>
      <c r="Y18" s="31">
        <f t="shared" si="4"/>
        <v>3576.1711368445494</v>
      </c>
      <c r="Z18" s="31">
        <f t="shared" si="5"/>
        <v>346.41016151377585</v>
      </c>
    </row>
    <row r="19" spans="1:26" ht="62.4" x14ac:dyDescent="0.3">
      <c r="A19" s="8" cm="1">
        <f t="array" ref="A19">LOOKUP(2,1/((D5&gt;='Look up Tables'!B3:B26)*(D5&lt;='Look up Tables'!C3:C26)),'Look up Tables'!E3:E26)</f>
        <v>10</v>
      </c>
      <c r="D19" s="24" t="s">
        <v>111</v>
      </c>
      <c r="E19" s="8">
        <f>MIN(E7:E18)</f>
        <v>18</v>
      </c>
      <c r="F19" s="16">
        <f>IFERROR(MEDIAN(F7:F18),"Waiting…")</f>
        <v>35</v>
      </c>
      <c r="G19" s="24" t="s">
        <v>108</v>
      </c>
      <c r="H19" s="58">
        <v>2.9</v>
      </c>
      <c r="I19" s="26" t="s">
        <v>73</v>
      </c>
      <c r="J19" s="31">
        <f>MEDIAN(J7:J18)</f>
        <v>18005.961522755526</v>
      </c>
      <c r="K19" s="31">
        <f>MEDIAN(K7:K18)</f>
        <v>1076.9923958981058</v>
      </c>
      <c r="L19" s="32"/>
      <c r="M19" s="16">
        <f>IFERROR(MEDIAN(M7:M18),"Waiting…")</f>
        <v>2.5</v>
      </c>
      <c r="N19" s="32"/>
      <c r="O19" s="32"/>
      <c r="P19" s="24" t="s">
        <v>104</v>
      </c>
      <c r="Q19" s="31">
        <f>MEDIAN(Q7:Q18)</f>
        <v>1240.1586864238698</v>
      </c>
      <c r="R19" s="31">
        <f>MEDIAN(R7:R18)</f>
        <v>116.16758729490417</v>
      </c>
      <c r="S19" s="8">
        <f>IFERROR(MEDIAN(S7:S18),"Waiting…")</f>
        <v>10</v>
      </c>
      <c r="T19" s="32"/>
      <c r="U19" s="8">
        <f>IFERROR(MEDIAN(U7:U18),"Waiting…")</f>
        <v>30.5</v>
      </c>
      <c r="V19" s="32"/>
      <c r="W19" s="32"/>
      <c r="X19" s="24" t="s">
        <v>73</v>
      </c>
      <c r="Y19" s="31">
        <f>MEDIAN(Y7:Y18)</f>
        <v>11629.054234370464</v>
      </c>
      <c r="Z19" s="31">
        <f>MEDIAN(Z7:Z18)</f>
        <v>588.44694884625426</v>
      </c>
    </row>
    <row r="20" spans="1:26" ht="46.8" x14ac:dyDescent="0.3">
      <c r="A20" s="43" t="s">
        <v>90</v>
      </c>
      <c r="D20" s="8">
        <v>25</v>
      </c>
      <c r="E20" s="24" t="s">
        <v>88</v>
      </c>
      <c r="F20" s="26" t="s">
        <v>89</v>
      </c>
      <c r="G20" s="24" t="s">
        <v>109</v>
      </c>
      <c r="H20" s="57">
        <v>3</v>
      </c>
      <c r="I20" s="21" t="s">
        <v>74</v>
      </c>
      <c r="J20" s="31">
        <f>J19-'Look up Tables'!K3</f>
        <v>15905.961522755526</v>
      </c>
      <c r="K20" s="31">
        <f>K19-'Look up Tables'!L3</f>
        <v>876.99239589810577</v>
      </c>
      <c r="L20" s="47"/>
      <c r="M20" s="32"/>
      <c r="N20" s="32"/>
      <c r="O20" s="32"/>
      <c r="P20" s="21" t="s">
        <v>79</v>
      </c>
      <c r="Q20" s="31">
        <f>J19-Q19</f>
        <v>16765.802836331655</v>
      </c>
      <c r="R20" s="31">
        <f>K19-R19</f>
        <v>960.82480860320163</v>
      </c>
      <c r="S20" s="16">
        <f>IFERROR((S19-M19)/5,"Waiting…")</f>
        <v>1.5</v>
      </c>
      <c r="T20" s="32"/>
      <c r="U20" s="16">
        <f>IFERROR((U19-S19)/4,"Waiting…")</f>
        <v>5.125</v>
      </c>
      <c r="V20" s="32"/>
      <c r="W20" s="32"/>
      <c r="X20" s="21" t="s">
        <v>92</v>
      </c>
      <c r="Y20" s="31">
        <f>J19-Y19</f>
        <v>6376.9072883850622</v>
      </c>
      <c r="Z20" s="31">
        <f>K19-Z19</f>
        <v>488.54544705185151</v>
      </c>
    </row>
    <row r="21" spans="1:26" ht="31.2" x14ac:dyDescent="0.3">
      <c r="A21" s="27" t="str">
        <f>IF(COUNTA(A7:A18)&gt;=A19, "YES","Need additional sites")</f>
        <v>YES</v>
      </c>
      <c r="B21" s="33"/>
      <c r="C21" s="32"/>
      <c r="D21" s="32"/>
      <c r="E21" s="7" t="str">
        <f>IF(E19&gt;1,"YES","NO")</f>
        <v>YES</v>
      </c>
      <c r="F21" s="7" t="str">
        <f>IF(F19&gt;30,"YES","NO")</f>
        <v>YES</v>
      </c>
      <c r="G21" s="32"/>
      <c r="H21" s="32"/>
      <c r="I21" s="21" t="s">
        <v>110</v>
      </c>
      <c r="J21" s="60">
        <f>J20*$D$5*2.2</f>
        <v>1403.9747899559352</v>
      </c>
      <c r="K21" s="60">
        <f>K20*$D$5*2.2</f>
        <v>77.409668888139691</v>
      </c>
      <c r="L21" s="32"/>
      <c r="M21" s="32"/>
      <c r="N21" s="32"/>
      <c r="O21" s="32"/>
      <c r="P21" s="22" t="s">
        <v>34</v>
      </c>
      <c r="Q21" s="60">
        <f>Q20*$D$5*2.2</f>
        <v>1479.8705807194442</v>
      </c>
      <c r="R21" s="60">
        <f>R20*$D$5*2.2</f>
        <v>84.809321769906887</v>
      </c>
      <c r="S21" s="5" t="str" cm="1">
        <f t="array" ref="S21">_xlfn.IFS(S19&lt;=30,"Yes, Credits on track",S19&gt;30,"NO, additional projects needed")</f>
        <v>Yes, Credits on track</v>
      </c>
      <c r="T21" s="32"/>
      <c r="U21" s="43" t="str" cm="1">
        <f t="array" ref="U21">_xlfn.IFS(U19&lt;=30,"NO Revision, Extend Current Credits",U19&gt;30,"YES, proceed with revision process")</f>
        <v>YES, proceed with revision process</v>
      </c>
      <c r="V21" s="32"/>
      <c r="W21" s="32"/>
      <c r="X21" s="21" t="s">
        <v>72</v>
      </c>
      <c r="Y21" s="59">
        <f>Y20*$D$5*2.2</f>
        <v>562.87179231324342</v>
      </c>
      <c r="Z21" s="59">
        <f>Z20*$D$5*2.2</f>
        <v>43.122541848682054</v>
      </c>
    </row>
    <row r="22" spans="1:26" x14ac:dyDescent="0.3">
      <c r="A22" s="39" t="s">
        <v>95</v>
      </c>
      <c r="B22"/>
      <c r="C22"/>
      <c r="D22"/>
      <c r="G22" s="28"/>
      <c r="H22" s="28"/>
      <c r="I22" s="28"/>
      <c r="J22" s="28"/>
      <c r="K22" s="28"/>
      <c r="L22" s="28"/>
      <c r="M22" s="28"/>
      <c r="N22" s="2"/>
      <c r="O22" s="2"/>
      <c r="P22" s="2"/>
      <c r="Q22" s="2"/>
      <c r="R22" s="2"/>
      <c r="S22" s="2"/>
      <c r="T22" s="2"/>
      <c r="U22" s="2"/>
      <c r="W22" s="2"/>
      <c r="X22" s="2"/>
      <c r="Y22" s="2"/>
    </row>
    <row r="23" spans="1:26" ht="15.6" customHeight="1" x14ac:dyDescent="0.3">
      <c r="A23" s="40" t="s">
        <v>96</v>
      </c>
      <c r="Y23" s="2"/>
    </row>
    <row r="24" spans="1:26" x14ac:dyDescent="0.3">
      <c r="A24" s="41" t="s">
        <v>97</v>
      </c>
    </row>
    <row r="25" spans="1:26" x14ac:dyDescent="0.3">
      <c r="A25" s="42" t="s">
        <v>98</v>
      </c>
      <c r="F25" s="9"/>
      <c r="G25"/>
      <c r="Y25" s="2"/>
    </row>
    <row r="26" spans="1:26" x14ac:dyDescent="0.3">
      <c r="Y26" s="2"/>
    </row>
    <row r="27" spans="1:26" x14ac:dyDescent="0.3">
      <c r="Y27" s="2"/>
    </row>
    <row r="28" spans="1:26" x14ac:dyDescent="0.3">
      <c r="Y28" s="2"/>
    </row>
    <row r="29" spans="1:26" x14ac:dyDescent="0.3">
      <c r="Y29" s="2"/>
    </row>
    <row r="30" spans="1:26" x14ac:dyDescent="0.3">
      <c r="Y30" s="2"/>
    </row>
    <row r="31" spans="1:26" x14ac:dyDescent="0.3">
      <c r="Y31" s="2"/>
    </row>
    <row r="32" spans="1:26" ht="33.6" customHeight="1" x14ac:dyDescent="0.3">
      <c r="Y32" s="2"/>
    </row>
    <row r="33" spans="25:26" x14ac:dyDescent="0.3">
      <c r="Y33" s="2"/>
    </row>
    <row r="34" spans="25:26" x14ac:dyDescent="0.3">
      <c r="Y34" s="2"/>
    </row>
    <row r="35" spans="25:26" x14ac:dyDescent="0.3">
      <c r="Y35" s="2"/>
    </row>
    <row r="36" spans="25:26" x14ac:dyDescent="0.3">
      <c r="Y36" s="2"/>
    </row>
    <row r="37" spans="25:26" x14ac:dyDescent="0.3">
      <c r="Y37" s="2"/>
    </row>
    <row r="38" spans="25:26" x14ac:dyDescent="0.3">
      <c r="Y38" s="2"/>
    </row>
    <row r="39" spans="25:26" x14ac:dyDescent="0.3">
      <c r="Y39" s="2"/>
    </row>
    <row r="40" spans="25:26" x14ac:dyDescent="0.3">
      <c r="Y40" s="2"/>
      <c r="Z40" s="2"/>
    </row>
    <row r="41" spans="25:26" x14ac:dyDescent="0.3">
      <c r="Y41" s="2"/>
      <c r="Z41" s="2"/>
    </row>
    <row r="42" spans="25:26" ht="16.2" customHeight="1" x14ac:dyDescent="0.3"/>
    <row r="43" spans="25:26" ht="14.4" customHeight="1" x14ac:dyDescent="0.3"/>
    <row r="53" spans="6:6" x14ac:dyDescent="0.3">
      <c r="F53" s="2"/>
    </row>
    <row r="54" spans="6:6" x14ac:dyDescent="0.3">
      <c r="F54" s="2"/>
    </row>
    <row r="55" spans="6:6" x14ac:dyDescent="0.3">
      <c r="F55" s="2"/>
    </row>
    <row r="56" spans="6:6" x14ac:dyDescent="0.3">
      <c r="F56" s="2"/>
    </row>
    <row r="57" spans="6:6" x14ac:dyDescent="0.3">
      <c r="F57" s="2"/>
    </row>
    <row r="58" spans="6:6" x14ac:dyDescent="0.3">
      <c r="F58" s="2"/>
    </row>
    <row r="59" spans="6:6" x14ac:dyDescent="0.3">
      <c r="F59" s="2"/>
    </row>
    <row r="60" spans="6:6" x14ac:dyDescent="0.3">
      <c r="F60" s="2"/>
    </row>
    <row r="61" spans="6:6" x14ac:dyDescent="0.3">
      <c r="F61" s="2"/>
    </row>
    <row r="62" spans="6:6" x14ac:dyDescent="0.3">
      <c r="F62" s="2"/>
    </row>
    <row r="63" spans="6:6" x14ac:dyDescent="0.3">
      <c r="F63" s="2"/>
    </row>
    <row r="64" spans="6:6" x14ac:dyDescent="0.3">
      <c r="F64" s="2"/>
    </row>
    <row r="65" spans="6:6" x14ac:dyDescent="0.3">
      <c r="F65" s="2"/>
    </row>
    <row r="66" spans="6:6" x14ac:dyDescent="0.3">
      <c r="F66" s="2"/>
    </row>
  </sheetData>
  <mergeCells count="5">
    <mergeCell ref="B1:I1"/>
    <mergeCell ref="B2:I2"/>
    <mergeCell ref="E5:I5"/>
    <mergeCell ref="L5:R5"/>
    <mergeCell ref="T5:Z5"/>
  </mergeCells>
  <conditionalFormatting sqref="E21:F21">
    <cfRule type="containsText" dxfId="16" priority="7" operator="containsText" text="NO">
      <formula>NOT(ISERROR(SEARCH("NO",E21)))</formula>
    </cfRule>
    <cfRule type="containsText" dxfId="15" priority="8" operator="containsText" text="YES">
      <formula>NOT(ISERROR(SEARCH("YES",E21)))</formula>
    </cfRule>
  </conditionalFormatting>
  <conditionalFormatting sqref="U21">
    <cfRule type="containsText" dxfId="14" priority="5" operator="containsText" text="Yes">
      <formula>NOT(ISERROR(SEARCH("Yes",U21)))</formula>
    </cfRule>
    <cfRule type="containsText" dxfId="13" priority="6" operator="containsText" text="No">
      <formula>NOT(ISERROR(SEARCH("No",U21)))</formula>
    </cfRule>
  </conditionalFormatting>
  <conditionalFormatting sqref="A21">
    <cfRule type="containsText" dxfId="12" priority="3" operator="containsText" text="NO">
      <formula>NOT(ISERROR(SEARCH("NO",A21)))</formula>
    </cfRule>
    <cfRule type="containsText" dxfId="11" priority="4" operator="containsText" text="YES">
      <formula>NOT(ISERROR(SEARCH("YES",A21)))</formula>
    </cfRule>
  </conditionalFormatting>
  <conditionalFormatting sqref="S21">
    <cfRule type="containsText" dxfId="10" priority="1" operator="containsText" text="NO">
      <formula>NOT(ISERROR(SEARCH("NO",S21)))</formula>
    </cfRule>
    <cfRule type="containsText" dxfId="9" priority="2" operator="containsText" text="YES">
      <formula>NOT(ISERROR(SEARCH("YES",S21)))</formula>
    </cfRule>
  </conditionalFormatting>
  <dataValidations count="43">
    <dataValidation allowBlank="1" showInputMessage="1" showErrorMessage="1" prompt="Minimum number of sites to sample based on area to be dredged." sqref="A19" xr:uid="{13847914-B486-41CE-B865-ECF743CFD612}"/>
    <dataValidation allowBlank="1" showInputMessage="1" showErrorMessage="1" promptTitle="5-yr PD Accumulation Assesment " prompt="If median muck thickness is greater than 30 cm and accrual rate is &gt;= 2.5 cm/yr, additional projects must be considered to reduce sedimentation and meet the agreed upon credit." sqref="S21" xr:uid="{21B64344-007C-4B83-832A-904A0477C2FC}"/>
    <dataValidation allowBlank="1" showInputMessage="1" showErrorMessage="1" promptTitle="9-yr PD Revision Assesment " prompt="If median muck thickness is greater than 30 cm, revisions to credit are needed and additional projects need to be considered to meet the original agreed upon nutrient removal in the BMAP." sqref="U21" xr:uid="{62DB4654-93F4-4FAE-9E18-8E7A21225B9E}"/>
    <dataValidation allowBlank="1" showErrorMessage="1" promptTitle="5-yr Post Dredge Date" prompt="When did you assess muck thickness samples five years following the dredge activity?" sqref="H3" xr:uid="{AE8E3D81-B4C3-4492-8588-4441E2F2ECED}"/>
    <dataValidation allowBlank="1" showInputMessage="1" showErrorMessage="1" promptTitle="9-yr Post Dredge Date" prompt="When did you assess muck thickness and take your loss on ignition (LOI) samples nine years following the dredge activity?" sqref="O3:R3 I3:L3" xr:uid="{6923FF30-92D3-4DFA-8430-2EAB154D45A8}"/>
    <dataValidation allowBlank="1" showInputMessage="1" showErrorMessage="1" prompt="This cell will automatically calculate your project area into square kilometers." sqref="D5" xr:uid="{F0DE39EB-C5D9-492A-A1B8-AB249E112EC8}"/>
    <dataValidation allowBlank="1" showInputMessage="1" showErrorMessage="1" promptTitle="Project area" prompt="What is your project area in acres?" sqref="B5" xr:uid="{DBB9EE3B-ECA1-40EB-B81F-781E96823592}"/>
    <dataValidation allowBlank="1" showInputMessage="1" showErrorMessage="1" promptTitle="9-yr PD N Flux" prompt="N Flux pre net - 9-yr net, kg/km2/yr" sqref="Y20" xr:uid="{6DEB9653-E0DA-4EEA-A56C-3DD5A539BB18}"/>
    <dataValidation allowBlank="1" showInputMessage="1" showErrorMessage="1" promptTitle="&lt;6-month PD P Flux" prompt="P Flux pre net - post net, kg/km2/yr" sqref="P20 R20" xr:uid="{2A1398C0-28CC-4136-A8E4-60D26D82BD30}"/>
    <dataValidation allowBlank="1" showInputMessage="1" showErrorMessage="1" promptTitle="9-yr PD P Flux" prompt="P Flux pre net - 9-yr net, kg/km2/yr" sqref="Z20 X20" xr:uid="{E4DC8A38-C0C7-449E-B759-F6D3505118BC}"/>
    <dataValidation allowBlank="1" showInputMessage="1" showErrorMessage="1" promptTitle="5-yr Post Dredge Date" prompt="When did you assess muck thickness samples five years following the dredge activity?" sqref="G3 I3:L3" xr:uid="{92331481-088F-4055-965C-1F6AE29DF93B}"/>
    <dataValidation allowBlank="1" showInputMessage="1" showErrorMessage="1" promptTitle="&lt;6-month Post Dredge Date" prompt="What date did you sample no more than six months following the dredge activity?" sqref="D3" xr:uid="{366EB25C-D1A2-4491-A516-9B445C2E672A}"/>
    <dataValidation allowBlank="1" showInputMessage="1" showErrorMessage="1" promptTitle="Pre-Dredge Date" prompt="When did you assess muck thickness and take your loss on ignition (LOI) samples prior to dredging activities?" sqref="B3" xr:uid="{BE43A3F6-72A9-4A84-8818-E019418756A3}"/>
    <dataValidation allowBlank="1" showInputMessage="1" showErrorMessage="1" promptTitle="&lt; 6-month Post Dredge Date" prompt="When did you assess muck thickness and take your loss on ignition (LOI) samples no more than six months following the dredge activity?" sqref="D3" xr:uid="{C75C93D3-68EB-4387-88EB-224E2AE40EDD}"/>
    <dataValidation allowBlank="1" showInputMessage="1" showErrorMessage="1" promptTitle="Pre-dredge Date" prompt="When did you assess muck thickness and take your loss on ignition (LOI) samples prior to the dredge activity?" sqref="B3" xr:uid="{23074ABA-BBA7-412A-A942-921FC0A45B1F}"/>
    <dataValidation allowBlank="1" showInputMessage="1" showErrorMessage="1" promptTitle="%LOI Pre-Dredge" prompt="Percent loss on ignition for sample prior to dredging." sqref="G6:K6" xr:uid="{F62549FB-3A01-44CA-A5F3-97ABC5A247E8}"/>
    <dataValidation allowBlank="1" showInputMessage="1" showErrorMessage="1" promptTitle="%LOI &lt;6-month PD" prompt="Percent loss on ignition for sample after less than six months post dredge." sqref="W6:Z6 N6:R6" xr:uid="{D86A5334-8DD9-4E16-BE5B-B3CB7CEEDA20}"/>
    <dataValidation allowBlank="1" showInputMessage="1" showErrorMessage="1" promptTitle="%LOI 9-yr PD" prompt="Percent loss on ignition for sample after nine years post dredge." sqref="V6" xr:uid="{7C9D5646-2A21-4BB3-9D65-75151361274B}"/>
    <dataValidation allowBlank="1" showInputMessage="1" showErrorMessage="1" promptTitle="Muck thickness (cm) 5-yr PD" prompt="Check in to see muck accumulation to determine if additional land based treatment needs to be considered to prevent additional muck accumulation and maintain credits." sqref="S6" xr:uid="{BF2122C2-01F6-4237-9B7B-5E69AD473799}"/>
    <dataValidation allowBlank="1" showInputMessage="1" showErrorMessage="1" promptTitle="Muck thickness (cm) 9-yr PD" prompt="Muck surveyed in 9th year re-assesses project area's median muck thickness relative to the 30 cm threshold." sqref="U6" xr:uid="{67DF5222-0494-42D4-AE2A-667C45FF2BA0}"/>
    <dataValidation allowBlank="1" showInputMessage="1" showErrorMessage="1" promptTitle="Muck thickness (cm) &lt;6-month PD" prompt="How deep is the muck at the sampling sites no more than 6-months after dredging? It's ok if there is no muck accumulation, that's great!" sqref="M6" xr:uid="{795CDEBD-A411-4B7E-945E-EF4CAAE78345}"/>
    <dataValidation allowBlank="1" showInputMessage="1" showErrorMessage="1" promptTitle="Muck thickness (cm)" prompt="How deep is the muck at the sampling site prior to dredging." sqref="F6" xr:uid="{D989D167-DD83-41B5-B972-4A8B352EE4B2}"/>
    <dataValidation allowBlank="1" showInputMessage="1" showErrorMessage="1" promptTitle="Are there enough sample sites?" prompt="Yes, if the number of sampling sites is equal or greater than the minimum required sample sites." sqref="A21" xr:uid="{4FBB5DE1-1F5D-4660-A842-AF5CCDB931A3}"/>
    <dataValidation allowBlank="1" showInputMessage="1" showErrorMessage="1" promptTitle="Pre-Dredge Date" prompt="When did you assess muck thickness and take your loss on ignition (LOI) samples?" sqref="B2" xr:uid="{A4F86676-202D-4D3D-B378-17102C51D887}"/>
    <dataValidation allowBlank="1" showInputMessage="1" showErrorMessage="1" promptTitle="How fast has muck accumulated?" prompt="If accrual rate is &lt; 2.5 cm/yr, revisions may not be necessary, however the median muck thickness still needs to be assessed and will ultimately determine if credits need to be revised." sqref="S20 U20" xr:uid="{3AF244B2-7156-4196-AB35-00847B6BAD4C}"/>
    <dataValidation allowBlank="1" showInputMessage="1" showErrorMessage="1" promptTitle="Salinity" prompt="Insert your salinity in PSU where it was measured." sqref="E6" xr:uid="{60027985-08B2-4E1E-9814-6C901383503A}"/>
    <dataValidation allowBlank="1" showInputMessage="1" showErrorMessage="1" promptTitle="Longitude" prompt="Insert your location data for each site in decimal degrees." sqref="C6:D6 L6 T6" xr:uid="{412282C1-63F0-4A6D-8C2B-FFBDB7061641}"/>
    <dataValidation allowBlank="1" showInputMessage="1" showErrorMessage="1" promptTitle="Latitude" prompt="Insert your location data for each site in decimal degrees." sqref="B6" xr:uid="{2997F24A-6411-4561-98D5-EBA6983AD20F}"/>
    <dataValidation allowBlank="1" showInputMessage="1" showErrorMessage="1" promptTitle="Sampling Sites" prompt="Insert your sampling sites. In addition, please provide an attached map or shapefile of the sampling sites." sqref="A6" xr:uid="{F422D5E9-BE17-4EF1-9609-6AA4566B3469}"/>
    <dataValidation allowBlank="1" showInputMessage="1" showErrorMessage="1" promptTitle="BMAP Zone" prompt="What zone of the BMAP is the project in?" sqref="B2" xr:uid="{01ED0AA5-C214-40BA-ABE5-E3EF5E468C79}"/>
    <dataValidation allowBlank="1" showInputMessage="1" showErrorMessage="1" promptTitle="Name your project" prompt="What is your project's name?" sqref="B1" xr:uid="{09862926-BEA0-4AD1-859D-9A6090175DF5}"/>
    <dataValidation allowBlank="1" showInputMessage="1" showErrorMessage="1" promptTitle="9-yr Post Dredge:" prompt="Median of muck thicknesses (cm), All sites" sqref="U19" xr:uid="{F44B4A8C-8CB1-4587-B71B-617882F5AB97}"/>
    <dataValidation allowBlank="1" showInputMessage="1" showErrorMessage="1" promptTitle="5-yr Thickness:" prompt="Median of muck thicknesses (cm), All sites" sqref="S19" xr:uid="{BD795FA8-AE4E-488E-AFFD-8A7CA38C883F}"/>
    <dataValidation allowBlank="1" showInputMessage="1" showErrorMessage="1" promptTitle="TN Credit" prompt="TN BMAP Credits, net lb/yr removed" sqref="O21 Y21" xr:uid="{098407B4-0988-49C6-8012-A043ECEDABDE}"/>
    <dataValidation allowBlank="1" showInputMessage="1" showErrorMessage="1" promptTitle="TP Credit" prompt="TP BMAP Credits, net lb/yr removed" sqref="P21:R21 X21 Z21 J21:K21" xr:uid="{0EEE30EE-14E9-41AE-B00C-86728653D9CD}"/>
    <dataValidation allowBlank="1" showInputMessage="1" showErrorMessage="1" promptTitle="&lt;6-month PD N Flux" prompt="N Flux pre net - post net, kg/km2/yr" sqref="O20 Q20" xr:uid="{BE2F4C5C-A194-44A9-B233-26BF6301E459}"/>
    <dataValidation allowBlank="1" showInputMessage="1" showErrorMessage="1" promptTitle="Pre-Dredge:" prompt="Median of muck thicknesses (cm), All sites" sqref="F19" xr:uid="{39D5D8C4-CF57-426E-98E8-58501A2F54D7}"/>
    <dataValidation allowBlank="1" showInputMessage="1" showErrorMessage="1" promptTitle="Provisional N Flux" prompt="Provisional N Flux initial net, kg/km2/yr" sqref="J20" xr:uid="{683315A6-3A25-4FA1-AFAF-52CB69476038}"/>
    <dataValidation allowBlank="1" showInputMessage="1" showErrorMessage="1" promptTitle="Muck thickness met?" prompt="Yes, if median muck depth is &gt;= 30 cm" sqref="F21" xr:uid="{61AC628B-2DCE-4FF3-9D7B-7CA52641DA45}"/>
    <dataValidation allowBlank="1" showInputMessage="1" showErrorMessage="1" promptTitle="Salinity Criterion Met?" prompt="Yes if value is &gt;= 1 psu" sqref="E21" xr:uid="{3764ED65-2383-4DD6-873F-B6295A261D0B}"/>
    <dataValidation allowBlank="1" showInputMessage="1" showErrorMessage="1" prompt="Minimum salinity of the sampled sites" sqref="E19" xr:uid="{70EE0197-1EB9-44D7-A894-4FA29B101FEF}"/>
    <dataValidation allowBlank="1" showInputMessage="1" showErrorMessage="1" promptTitle="&lt;6-month Post Dredge:" prompt="Median of muck thicknesses (cm), All sites" sqref="M19" xr:uid="{2316F8B7-CFA2-44DE-962F-3834FA31A08F}"/>
    <dataValidation allowBlank="1" showInputMessage="1" showErrorMessage="1" promptTitle="Provisional P Flux" prompt="Provisional P Flux initial net, kg/km2/yr" sqref="K20:L20" xr:uid="{F0FB07F5-E7F5-4DDC-8E27-F57E14DC78F9}"/>
  </dataValidations>
  <hyperlinks>
    <hyperlink ref="A24" r:id="rId1" xr:uid="{CE843C1B-3B03-411B-AC06-750C33CBB37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4DFC-7110-4B65-AC58-07847E278FF8}">
  <dimension ref="A1:Z85"/>
  <sheetViews>
    <sheetView zoomScale="80" zoomScaleNormal="80" workbookViewId="0">
      <pane xSplit="1" ySplit="2" topLeftCell="B6" activePane="bottomRight" state="frozen"/>
      <selection pane="topRight" activeCell="B1" sqref="B1"/>
      <selection pane="bottomLeft" activeCell="A3" sqref="A3"/>
      <selection pane="bottomRight" activeCell="C41" sqref="C41"/>
    </sheetView>
  </sheetViews>
  <sheetFormatPr defaultColWidth="8.88671875" defaultRowHeight="15.6" x14ac:dyDescent="0.3"/>
  <cols>
    <col min="1" max="1" width="28.21875" style="36" bestFit="1" customWidth="1"/>
    <col min="2" max="2" width="17.33203125" style="36" bestFit="1" customWidth="1"/>
    <col min="3" max="3" width="17.88671875" style="36" bestFit="1" customWidth="1"/>
    <col min="4" max="4" width="13.44140625" style="36" customWidth="1"/>
    <col min="5" max="5" width="17.77734375" style="36" bestFit="1" customWidth="1"/>
    <col min="6" max="6" width="24.88671875" style="36" bestFit="1" customWidth="1"/>
    <col min="7" max="7" width="16.5546875" style="36" bestFit="1" customWidth="1"/>
    <col min="8" max="8" width="17.44140625" style="36" bestFit="1" customWidth="1"/>
    <col min="9" max="9" width="15.5546875" style="36" bestFit="1" customWidth="1"/>
    <col min="10" max="11" width="15.5546875" style="36" customWidth="1"/>
    <col min="12" max="12" width="13.44140625" style="36" bestFit="1" customWidth="1"/>
    <col min="13" max="13" width="16" style="36" bestFit="1" customWidth="1"/>
    <col min="14" max="14" width="6.21875" style="36" bestFit="1" customWidth="1"/>
    <col min="15" max="15" width="17.44140625" style="36" customWidth="1"/>
    <col min="16" max="16" width="18.21875" style="36" bestFit="1" customWidth="1"/>
    <col min="17" max="17" width="16.88671875" style="36" bestFit="1" customWidth="1"/>
    <col min="18" max="18" width="16.5546875" style="36" bestFit="1" customWidth="1"/>
    <col min="19" max="19" width="16.33203125" style="36" bestFit="1" customWidth="1"/>
    <col min="20" max="20" width="13.44140625" style="36" bestFit="1" customWidth="1"/>
    <col min="21" max="21" width="18.33203125" style="36" bestFit="1" customWidth="1"/>
    <col min="22" max="22" width="6.21875" style="36" bestFit="1" customWidth="1"/>
    <col min="23" max="23" width="10.5546875" style="36" bestFit="1" customWidth="1"/>
    <col min="24" max="24" width="18.21875" style="36" bestFit="1" customWidth="1"/>
    <col min="25" max="25" width="16.88671875" style="36" bestFit="1" customWidth="1"/>
    <col min="26" max="26" width="15.21875" style="36" bestFit="1" customWidth="1"/>
    <col min="27" max="27" width="14.44140625" style="36" bestFit="1" customWidth="1"/>
    <col min="28" max="28" width="13.44140625" style="36" bestFit="1" customWidth="1"/>
    <col min="29" max="29" width="18.33203125" style="36" bestFit="1" customWidth="1"/>
    <col min="30" max="30" width="11.88671875" style="36" bestFit="1" customWidth="1"/>
    <col min="31" max="31" width="10.6640625" style="36" customWidth="1"/>
    <col min="32" max="32" width="12.33203125" style="36" bestFit="1" customWidth="1"/>
    <col min="33" max="33" width="10.5546875" style="36" customWidth="1"/>
    <col min="34" max="34" width="10.5546875" style="36" bestFit="1" customWidth="1"/>
    <col min="35" max="16384" width="8.88671875" style="36"/>
  </cols>
  <sheetData>
    <row r="1" spans="1:26" x14ac:dyDescent="0.3">
      <c r="A1" s="54" t="s">
        <v>0</v>
      </c>
      <c r="B1" s="67"/>
      <c r="C1" s="67"/>
      <c r="D1" s="67"/>
      <c r="E1" s="67"/>
      <c r="F1" s="67"/>
      <c r="G1" s="67"/>
      <c r="H1" s="67"/>
      <c r="I1" s="67"/>
      <c r="J1" s="34"/>
      <c r="K1" s="34"/>
      <c r="L1" s="34"/>
      <c r="M1" s="34"/>
      <c r="N1" s="34"/>
      <c r="O1" s="34"/>
      <c r="P1" s="34"/>
      <c r="Q1" s="34"/>
      <c r="R1" s="34"/>
      <c r="S1" s="35"/>
      <c r="T1" s="35"/>
      <c r="U1" s="35"/>
      <c r="V1" s="35"/>
      <c r="W1" s="35"/>
      <c r="X1" s="35"/>
    </row>
    <row r="2" spans="1:26" x14ac:dyDescent="0.3">
      <c r="A2" s="54" t="s">
        <v>85</v>
      </c>
      <c r="B2" s="67"/>
      <c r="C2" s="67"/>
      <c r="D2" s="67"/>
      <c r="E2" s="67"/>
      <c r="F2" s="67"/>
      <c r="G2" s="67"/>
      <c r="H2" s="67"/>
      <c r="I2" s="67"/>
      <c r="J2" s="34"/>
      <c r="K2" s="34"/>
      <c r="L2" s="34"/>
      <c r="O2" s="37"/>
      <c r="P2" s="37"/>
      <c r="Q2" s="37"/>
      <c r="R2" s="37"/>
      <c r="S2" s="37"/>
      <c r="T2" s="37"/>
      <c r="U2" s="35"/>
      <c r="V2" s="35"/>
      <c r="W2" s="35"/>
    </row>
    <row r="3" spans="1:26" ht="31.2" x14ac:dyDescent="0.3">
      <c r="A3" s="56" t="s">
        <v>35</v>
      </c>
      <c r="B3" s="10"/>
      <c r="C3" s="56" t="s">
        <v>86</v>
      </c>
      <c r="D3" s="10"/>
      <c r="E3" s="10"/>
      <c r="F3" s="56" t="s">
        <v>84</v>
      </c>
      <c r="G3" s="10"/>
      <c r="H3" s="56" t="s">
        <v>87</v>
      </c>
      <c r="I3" s="10"/>
      <c r="J3" s="12"/>
      <c r="K3" s="12"/>
      <c r="L3" s="12"/>
      <c r="O3" s="12"/>
      <c r="P3" s="12"/>
      <c r="Q3" s="12"/>
      <c r="R3" s="12"/>
      <c r="S3" s="17"/>
      <c r="T3" s="17"/>
      <c r="U3" s="12"/>
      <c r="V3" s="17"/>
      <c r="W3" s="12"/>
      <c r="X3" s="17"/>
      <c r="Y3" s="12"/>
    </row>
    <row r="4" spans="1:26" x14ac:dyDescent="0.3">
      <c r="A4" s="37"/>
      <c r="B4" s="35"/>
      <c r="C4" s="35"/>
      <c r="D4" s="35"/>
      <c r="E4" s="35"/>
      <c r="F4" s="35"/>
      <c r="G4" s="35"/>
      <c r="H4" s="35"/>
      <c r="I4" s="35"/>
      <c r="J4" s="35"/>
      <c r="K4" s="35"/>
      <c r="L4" s="35"/>
      <c r="M4" s="35"/>
      <c r="N4" s="35"/>
      <c r="O4" s="35"/>
      <c r="P4" s="35"/>
      <c r="Q4" s="35"/>
      <c r="R4" s="35"/>
      <c r="S4" s="35"/>
      <c r="T4" s="35"/>
      <c r="U4" s="35"/>
      <c r="V4" s="35"/>
      <c r="W4" s="35"/>
      <c r="X4" s="35"/>
      <c r="Y4" s="35"/>
    </row>
    <row r="5" spans="1:26" ht="33" x14ac:dyDescent="0.3">
      <c r="A5" s="43" t="s">
        <v>25</v>
      </c>
      <c r="B5" s="45"/>
      <c r="C5" s="43" t="s">
        <v>33</v>
      </c>
      <c r="D5" s="53"/>
      <c r="E5" s="16">
        <f>B5/247</f>
        <v>0</v>
      </c>
      <c r="F5" s="63" t="s">
        <v>36</v>
      </c>
      <c r="G5" s="64"/>
      <c r="H5" s="64"/>
      <c r="I5" s="64"/>
      <c r="J5" s="64"/>
      <c r="K5" s="65"/>
      <c r="L5" s="63" t="s">
        <v>83</v>
      </c>
      <c r="M5" s="64"/>
      <c r="N5" s="64"/>
      <c r="O5" s="64"/>
      <c r="P5" s="64"/>
      <c r="Q5" s="64"/>
      <c r="R5" s="65"/>
      <c r="S5" s="44" t="s">
        <v>81</v>
      </c>
      <c r="T5" s="66" t="s">
        <v>82</v>
      </c>
      <c r="U5" s="66"/>
      <c r="V5" s="66"/>
      <c r="W5" s="66"/>
      <c r="X5" s="66"/>
      <c r="Y5" s="66"/>
      <c r="Z5" s="66"/>
    </row>
    <row r="6" spans="1:26" ht="64.2" x14ac:dyDescent="0.3">
      <c r="A6" s="11" t="s">
        <v>30</v>
      </c>
      <c r="B6" s="11" t="s">
        <v>28</v>
      </c>
      <c r="C6" s="11" t="s">
        <v>29</v>
      </c>
      <c r="D6" s="11" t="s">
        <v>100</v>
      </c>
      <c r="E6" s="11" t="s">
        <v>31</v>
      </c>
      <c r="F6" s="43" t="s">
        <v>32</v>
      </c>
      <c r="G6" s="43" t="s">
        <v>69</v>
      </c>
      <c r="H6" s="43" t="s">
        <v>75</v>
      </c>
      <c r="I6" s="43" t="s">
        <v>76</v>
      </c>
      <c r="J6" s="56" t="s">
        <v>106</v>
      </c>
      <c r="K6" s="56" t="s">
        <v>107</v>
      </c>
      <c r="L6" s="11" t="s">
        <v>100</v>
      </c>
      <c r="M6" s="43" t="s">
        <v>32</v>
      </c>
      <c r="N6" s="24" t="s">
        <v>37</v>
      </c>
      <c r="O6" s="43" t="s">
        <v>77</v>
      </c>
      <c r="P6" s="43" t="s">
        <v>78</v>
      </c>
      <c r="Q6" s="43" t="s">
        <v>101</v>
      </c>
      <c r="R6" s="43" t="s">
        <v>102</v>
      </c>
      <c r="S6" s="43" t="s">
        <v>32</v>
      </c>
      <c r="T6" s="11" t="s">
        <v>100</v>
      </c>
      <c r="U6" s="43" t="s">
        <v>32</v>
      </c>
      <c r="V6" s="24" t="s">
        <v>37</v>
      </c>
      <c r="W6" s="43" t="s">
        <v>77</v>
      </c>
      <c r="X6" s="43" t="s">
        <v>78</v>
      </c>
      <c r="Y6" s="43" t="s">
        <v>101</v>
      </c>
      <c r="Z6" s="43" t="s">
        <v>102</v>
      </c>
    </row>
    <row r="7" spans="1:26" x14ac:dyDescent="0.3">
      <c r="A7" s="45"/>
      <c r="B7" s="19"/>
      <c r="C7" s="19"/>
      <c r="D7" s="45"/>
      <c r="E7" s="45"/>
      <c r="F7" s="20"/>
      <c r="G7" s="25"/>
      <c r="H7" s="30" cm="1">
        <f t="array" ref="H7">LOOKUP(2,1/((G7&gt;='Look up Tables'!$H$3:$H$14)*(G7&lt;='Look up Tables'!$I$3:$I$14)),'Look up Tables'!$K$3:$K$14)</f>
        <v>2100</v>
      </c>
      <c r="I7" s="30" cm="1">
        <f t="array" ref="I7">LOOKUP(2,1/((G7&gt;='Look up Tables'!$H$3:$H$14)*(G7&lt;='Look up Tables'!$I$3:$I$14)),'Look up Tables'!$L$3:$L$14)</f>
        <v>200</v>
      </c>
      <c r="J7" s="31">
        <f>IFERROR(10^((LOG($C$38)/(10/(D7-$D$39)))+LOG(H7)),"Waiting…")</f>
        <v>146.63049476585931</v>
      </c>
      <c r="K7" s="31">
        <f>IFERROR(10^((LOG($C$39)/(10/(D7-$D$39)))+LOG(I7)),"Waiting…")</f>
        <v>12.830005981991691</v>
      </c>
      <c r="L7" s="46"/>
      <c r="M7" s="20"/>
      <c r="N7" s="25"/>
      <c r="O7" s="30" cm="1">
        <f t="array" ref="O7">LOOKUP(2,1/((N7&gt;='Look up Tables'!$H$3:$H$14)*(N7&lt;='Look up Tables'!$I$3:$I$14)),'Look up Tables'!$K$3:$K$14)</f>
        <v>2100</v>
      </c>
      <c r="P7" s="30" cm="1">
        <f t="array" ref="P7">LOOKUP(2,1/((N7&gt;='Look up Tables'!$H$3:$H$14)*(N7&lt;='Look up Tables'!$I$3:$I$14)),'Look up Tables'!$L$3:$L$14)</f>
        <v>200</v>
      </c>
      <c r="Q7" s="31">
        <f>IFERROR(10^((LOG($C$38)/(10/(L7-$D$39)))+LOG(O7)),"Waiting…")</f>
        <v>146.63049476585931</v>
      </c>
      <c r="R7" s="31">
        <f>IFERROR(10^((LOG($C$39)/(10/(L7-$D$39)))+LOG(P7)),"Waiting…")</f>
        <v>12.830005981991691</v>
      </c>
      <c r="S7" s="20"/>
      <c r="T7" s="20"/>
      <c r="U7" s="20"/>
      <c r="V7" s="25"/>
      <c r="W7" s="30" cm="1">
        <f t="array" ref="W7">LOOKUP(2,1/((V7&gt;='Look up Tables'!$H$3:$H$14)*(V7&lt;='Look up Tables'!$I$3:$I$14)),'Look up Tables'!$K$3:$K$14)</f>
        <v>2100</v>
      </c>
      <c r="X7" s="30" cm="1">
        <f t="array" ref="X7">LOOKUP(2,1/((V7&gt;='Look up Tables'!$H$3:$H$14)*(V7&lt;='Look up Tables'!$I$3:$I$14)),'Look up Tables'!$L$3:$L$14)</f>
        <v>200</v>
      </c>
      <c r="Y7" s="31">
        <f>IFERROR(10^((LOG($C$38)/(10/(T7-$D$39)))+LOG(W7)),"Waiting…")</f>
        <v>146.63049476585931</v>
      </c>
      <c r="Z7" s="31">
        <f>IFERROR(10^((LOG($C$39)/(10/(T7-$D$39)))+LOG(X7)),"Waiting…")</f>
        <v>12.830005981991691</v>
      </c>
    </row>
    <row r="8" spans="1:26" x14ac:dyDescent="0.3">
      <c r="A8" s="45"/>
      <c r="B8" s="19"/>
      <c r="C8" s="19"/>
      <c r="D8" s="45"/>
      <c r="E8" s="45"/>
      <c r="F8" s="20"/>
      <c r="G8" s="25"/>
      <c r="H8" s="30">
        <f>IFERROR(LOOKUP($G8,'Look up Tables'!$G$3:$G$14,'Look up Tables'!$K$3:$K$14),"")</f>
        <v>2100</v>
      </c>
      <c r="I8" s="30">
        <f>IFERROR(LOOKUP($G8,'Look up Tables'!$G$3:$G$14,'Look up Tables'!$L$3:$L$14),"")</f>
        <v>200</v>
      </c>
      <c r="J8" s="31">
        <f t="shared" ref="J8:J37" si="0">IFERROR(10^((LOG($C$38)/(10/(D8-$D$39)))+LOG(H8)),"Waiting…")</f>
        <v>146.63049476585931</v>
      </c>
      <c r="K8" s="31">
        <f t="shared" ref="K8:K37" si="1">IFERROR(10^((LOG($C$39)/(10/(D8-$D$39)))+LOG(I8)),"Waiting…")</f>
        <v>12.830005981991691</v>
      </c>
      <c r="L8" s="46"/>
      <c r="M8" s="20"/>
      <c r="N8" s="25"/>
      <c r="O8" s="30">
        <f>IFERROR(LOOKUP($N8,'Look up Tables'!$G$3:$G$14,'Look up Tables'!$K$3:$K$14),"")</f>
        <v>2100</v>
      </c>
      <c r="P8" s="30">
        <f>IFERROR(LOOKUP($N8,'Look up Tables'!$G$3:$G$14,'Look up Tables'!$L$3:$L$14),"")</f>
        <v>200</v>
      </c>
      <c r="Q8" s="31">
        <f t="shared" ref="Q8:Q37" si="2">IFERROR(10^((LOG($C$38)/(10/(L8-$D$39)))+LOG(O8)),"Waiting…")</f>
        <v>146.63049476585931</v>
      </c>
      <c r="R8" s="31">
        <f t="shared" ref="R8:R37" si="3">IFERROR(10^((LOG($C$39)/(10/(L8-$D$39)))+LOG(P8)),"Waiting…")</f>
        <v>12.830005981991691</v>
      </c>
      <c r="S8" s="20"/>
      <c r="T8" s="20"/>
      <c r="U8" s="20"/>
      <c r="V8" s="25"/>
      <c r="W8" s="30">
        <f>IFERROR(LOOKUP($V8,'Look up Tables'!$G$3:$G$14,'Look up Tables'!$K$3:$K$14),"")</f>
        <v>2100</v>
      </c>
      <c r="X8" s="30">
        <f>IFERROR(LOOKUP($V8,'Look up Tables'!$G$3:$G$14,'Look up Tables'!$L$3:$L$14),"")</f>
        <v>200</v>
      </c>
      <c r="Y8" s="31">
        <f t="shared" ref="Y8:Y37" si="4">IFERROR(10^((LOG($C$38)/(10/(T8-$D$39)))+LOG(W8)),"Waiting…")</f>
        <v>146.63049476585931</v>
      </c>
      <c r="Z8" s="31">
        <f t="shared" ref="Z8:Z37" si="5">IFERROR(10^((LOG($C$39)/(10/(T8-$D$39)))+LOG(X8)),"Waiting…")</f>
        <v>12.830005981991691</v>
      </c>
    </row>
    <row r="9" spans="1:26" x14ac:dyDescent="0.3">
      <c r="A9" s="45"/>
      <c r="B9" s="19"/>
      <c r="C9" s="19"/>
      <c r="D9" s="45"/>
      <c r="E9" s="45"/>
      <c r="F9" s="20"/>
      <c r="G9" s="25"/>
      <c r="H9" s="30">
        <f>IFERROR(LOOKUP($G9,'Look up Tables'!$G$3:$G$14,'Look up Tables'!$K$3:$K$14),"")</f>
        <v>2100</v>
      </c>
      <c r="I9" s="30">
        <f>IFERROR(LOOKUP($G9,'Look up Tables'!$G$3:$G$14,'Look up Tables'!$L$3:$L$14),"")</f>
        <v>200</v>
      </c>
      <c r="J9" s="31">
        <f t="shared" si="0"/>
        <v>146.63049476585931</v>
      </c>
      <c r="K9" s="31">
        <f t="shared" si="1"/>
        <v>12.830005981991691</v>
      </c>
      <c r="L9" s="46"/>
      <c r="M9" s="20"/>
      <c r="N9" s="25"/>
      <c r="O9" s="30">
        <f>IFERROR(LOOKUP($N9,'Look up Tables'!$G$3:$G$14,'Look up Tables'!$K$3:$K$14),"")</f>
        <v>2100</v>
      </c>
      <c r="P9" s="30">
        <f>IFERROR(LOOKUP($N9,'Look up Tables'!$G$3:$G$14,'Look up Tables'!$L$3:$L$14),"")</f>
        <v>200</v>
      </c>
      <c r="Q9" s="31">
        <f t="shared" si="2"/>
        <v>146.63049476585931</v>
      </c>
      <c r="R9" s="31">
        <f t="shared" si="3"/>
        <v>12.830005981991691</v>
      </c>
      <c r="S9" s="20"/>
      <c r="T9" s="20"/>
      <c r="U9" s="20"/>
      <c r="V9" s="25"/>
      <c r="W9" s="30">
        <f>IFERROR(LOOKUP($V9,'Look up Tables'!$G$3:$G$14,'Look up Tables'!$K$3:$K$14),"")</f>
        <v>2100</v>
      </c>
      <c r="X9" s="30">
        <f>IFERROR(LOOKUP($V9,'Look up Tables'!$G$3:$G$14,'Look up Tables'!$L$3:$L$14),"")</f>
        <v>200</v>
      </c>
      <c r="Y9" s="31">
        <f t="shared" si="4"/>
        <v>146.63049476585931</v>
      </c>
      <c r="Z9" s="31">
        <f t="shared" si="5"/>
        <v>12.830005981991691</v>
      </c>
    </row>
    <row r="10" spans="1:26" x14ac:dyDescent="0.3">
      <c r="A10" s="45"/>
      <c r="B10" s="19"/>
      <c r="C10" s="19"/>
      <c r="D10" s="45"/>
      <c r="E10" s="45"/>
      <c r="F10" s="20"/>
      <c r="G10" s="25"/>
      <c r="H10" s="30">
        <f>IFERROR(LOOKUP($G10,'Look up Tables'!$G$3:$G$14,'Look up Tables'!$K$3:$K$14),"")</f>
        <v>2100</v>
      </c>
      <c r="I10" s="30">
        <f>IFERROR(LOOKUP($G10,'Look up Tables'!$G$3:$G$14,'Look up Tables'!$L$3:$L$14),"")</f>
        <v>200</v>
      </c>
      <c r="J10" s="31">
        <f t="shared" si="0"/>
        <v>146.63049476585931</v>
      </c>
      <c r="K10" s="31">
        <f t="shared" si="1"/>
        <v>12.830005981991691</v>
      </c>
      <c r="L10" s="46"/>
      <c r="M10" s="20"/>
      <c r="N10" s="25"/>
      <c r="O10" s="30">
        <f>IFERROR(LOOKUP($N10,'Look up Tables'!$G$3:$G$14,'Look up Tables'!$K$3:$K$14),"")</f>
        <v>2100</v>
      </c>
      <c r="P10" s="30">
        <f>IFERROR(LOOKUP($N10,'Look up Tables'!$G$3:$G$14,'Look up Tables'!$L$3:$L$14),"")</f>
        <v>200</v>
      </c>
      <c r="Q10" s="31">
        <f t="shared" si="2"/>
        <v>146.63049476585931</v>
      </c>
      <c r="R10" s="31">
        <f t="shared" si="3"/>
        <v>12.830005981991691</v>
      </c>
      <c r="S10" s="20"/>
      <c r="T10" s="20"/>
      <c r="U10" s="20"/>
      <c r="V10" s="25"/>
      <c r="W10" s="30">
        <f>IFERROR(LOOKUP($V10,'Look up Tables'!$G$3:$G$14,'Look up Tables'!$K$3:$K$14),"")</f>
        <v>2100</v>
      </c>
      <c r="X10" s="30">
        <f>IFERROR(LOOKUP($V10,'Look up Tables'!$G$3:$G$14,'Look up Tables'!$L$3:$L$14),"")</f>
        <v>200</v>
      </c>
      <c r="Y10" s="31">
        <f t="shared" si="4"/>
        <v>146.63049476585931</v>
      </c>
      <c r="Z10" s="31">
        <f t="shared" si="5"/>
        <v>12.830005981991691</v>
      </c>
    </row>
    <row r="11" spans="1:26" x14ac:dyDescent="0.3">
      <c r="A11" s="45"/>
      <c r="B11" s="19"/>
      <c r="C11" s="19"/>
      <c r="D11" s="45"/>
      <c r="E11" s="45"/>
      <c r="F11" s="20"/>
      <c r="G11" s="25"/>
      <c r="H11" s="30">
        <f>IFERROR(LOOKUP($G11,'Look up Tables'!$G$3:$G$14,'Look up Tables'!$K$3:$K$14),"")</f>
        <v>2100</v>
      </c>
      <c r="I11" s="30">
        <f>IFERROR(LOOKUP($G11,'Look up Tables'!$G$3:$G$14,'Look up Tables'!$L$3:$L$14),"")</f>
        <v>200</v>
      </c>
      <c r="J11" s="31">
        <f t="shared" si="0"/>
        <v>146.63049476585931</v>
      </c>
      <c r="K11" s="31">
        <f t="shared" si="1"/>
        <v>12.830005981991691</v>
      </c>
      <c r="L11" s="46"/>
      <c r="M11" s="20"/>
      <c r="N11" s="25"/>
      <c r="O11" s="30">
        <f>IFERROR(LOOKUP($N11,'Look up Tables'!$G$3:$G$14,'Look up Tables'!$K$3:$K$14),"")</f>
        <v>2100</v>
      </c>
      <c r="P11" s="30">
        <f>IFERROR(LOOKUP($N11,'Look up Tables'!$G$3:$G$14,'Look up Tables'!$L$3:$L$14),"")</f>
        <v>200</v>
      </c>
      <c r="Q11" s="31">
        <f t="shared" si="2"/>
        <v>146.63049476585931</v>
      </c>
      <c r="R11" s="31">
        <f t="shared" si="3"/>
        <v>12.830005981991691</v>
      </c>
      <c r="S11" s="20"/>
      <c r="T11" s="20"/>
      <c r="U11" s="20"/>
      <c r="V11" s="25"/>
      <c r="W11" s="30">
        <f>IFERROR(LOOKUP($V11,'Look up Tables'!$G$3:$G$14,'Look up Tables'!$K$3:$K$14),"")</f>
        <v>2100</v>
      </c>
      <c r="X11" s="30">
        <f>IFERROR(LOOKUP($V11,'Look up Tables'!$G$3:$G$14,'Look up Tables'!$L$3:$L$14),"")</f>
        <v>200</v>
      </c>
      <c r="Y11" s="31">
        <f t="shared" si="4"/>
        <v>146.63049476585931</v>
      </c>
      <c r="Z11" s="31">
        <f t="shared" si="5"/>
        <v>12.830005981991691</v>
      </c>
    </row>
    <row r="12" spans="1:26" x14ac:dyDescent="0.3">
      <c r="A12" s="45"/>
      <c r="B12" s="19"/>
      <c r="C12" s="19"/>
      <c r="D12" s="45"/>
      <c r="E12" s="45"/>
      <c r="F12" s="20"/>
      <c r="G12" s="25"/>
      <c r="H12" s="30">
        <f>IFERROR(LOOKUP($G12,'Look up Tables'!$G$3:$G$14,'Look up Tables'!$K$3:$K$14),"")</f>
        <v>2100</v>
      </c>
      <c r="I12" s="30">
        <f>IFERROR(LOOKUP($G12,'Look up Tables'!$G$3:$G$14,'Look up Tables'!$L$3:$L$14),"")</f>
        <v>200</v>
      </c>
      <c r="J12" s="31">
        <f t="shared" si="0"/>
        <v>146.63049476585931</v>
      </c>
      <c r="K12" s="31">
        <f t="shared" si="1"/>
        <v>12.830005981991691</v>
      </c>
      <c r="L12" s="46"/>
      <c r="M12" s="20"/>
      <c r="N12" s="25"/>
      <c r="O12" s="30">
        <f>IFERROR(LOOKUP($N12,'Look up Tables'!$G$3:$G$14,'Look up Tables'!$K$3:$K$14),"")</f>
        <v>2100</v>
      </c>
      <c r="P12" s="30">
        <f>IFERROR(LOOKUP($N12,'Look up Tables'!$G$3:$G$14,'Look up Tables'!$L$3:$L$14),"")</f>
        <v>200</v>
      </c>
      <c r="Q12" s="31">
        <f t="shared" si="2"/>
        <v>146.63049476585931</v>
      </c>
      <c r="R12" s="31">
        <f t="shared" si="3"/>
        <v>12.830005981991691</v>
      </c>
      <c r="S12" s="20"/>
      <c r="T12" s="20"/>
      <c r="U12" s="20"/>
      <c r="V12" s="25"/>
      <c r="W12" s="30">
        <f>IFERROR(LOOKUP($V12,'Look up Tables'!$G$3:$G$14,'Look up Tables'!$K$3:$K$14),"")</f>
        <v>2100</v>
      </c>
      <c r="X12" s="30">
        <f>IFERROR(LOOKUP($V12,'Look up Tables'!$G$3:$G$14,'Look up Tables'!$L$3:$L$14),"")</f>
        <v>200</v>
      </c>
      <c r="Y12" s="31">
        <f t="shared" si="4"/>
        <v>146.63049476585931</v>
      </c>
      <c r="Z12" s="31">
        <f t="shared" si="5"/>
        <v>12.830005981991691</v>
      </c>
    </row>
    <row r="13" spans="1:26" x14ac:dyDescent="0.3">
      <c r="A13" s="45"/>
      <c r="B13" s="19"/>
      <c r="C13" s="19"/>
      <c r="D13" s="45"/>
      <c r="E13" s="45"/>
      <c r="F13" s="20"/>
      <c r="G13" s="25"/>
      <c r="H13" s="30">
        <f>IFERROR(LOOKUP($G13,'Look up Tables'!$G$3:$G$14,'Look up Tables'!$K$3:$K$14),"")</f>
        <v>2100</v>
      </c>
      <c r="I13" s="30">
        <f>IFERROR(LOOKUP($G13,'Look up Tables'!$G$3:$G$14,'Look up Tables'!$L$3:$L$14),"")</f>
        <v>200</v>
      </c>
      <c r="J13" s="31">
        <f t="shared" si="0"/>
        <v>146.63049476585931</v>
      </c>
      <c r="K13" s="31">
        <f t="shared" si="1"/>
        <v>12.830005981991691</v>
      </c>
      <c r="L13" s="46"/>
      <c r="M13" s="20"/>
      <c r="N13" s="25"/>
      <c r="O13" s="30">
        <f>IFERROR(LOOKUP($N13,'Look up Tables'!$G$3:$G$14,'Look up Tables'!$K$3:$K$14),"")</f>
        <v>2100</v>
      </c>
      <c r="P13" s="30">
        <f>IFERROR(LOOKUP($N13,'Look up Tables'!$G$3:$G$14,'Look up Tables'!$L$3:$L$14),"")</f>
        <v>200</v>
      </c>
      <c r="Q13" s="31">
        <f t="shared" si="2"/>
        <v>146.63049476585931</v>
      </c>
      <c r="R13" s="31">
        <f t="shared" si="3"/>
        <v>12.830005981991691</v>
      </c>
      <c r="S13" s="20"/>
      <c r="T13" s="20"/>
      <c r="U13" s="20"/>
      <c r="V13" s="25"/>
      <c r="W13" s="30">
        <f>IFERROR(LOOKUP($V13,'Look up Tables'!$G$3:$G$14,'Look up Tables'!$K$3:$K$14),"")</f>
        <v>2100</v>
      </c>
      <c r="X13" s="30">
        <f>IFERROR(LOOKUP($V13,'Look up Tables'!$G$3:$G$14,'Look up Tables'!$L$3:$L$14),"")</f>
        <v>200</v>
      </c>
      <c r="Y13" s="31">
        <f t="shared" si="4"/>
        <v>146.63049476585931</v>
      </c>
      <c r="Z13" s="31">
        <f t="shared" si="5"/>
        <v>12.830005981991691</v>
      </c>
    </row>
    <row r="14" spans="1:26" x14ac:dyDescent="0.3">
      <c r="A14" s="45"/>
      <c r="B14" s="19"/>
      <c r="C14" s="19"/>
      <c r="D14" s="45"/>
      <c r="E14" s="45"/>
      <c r="F14" s="20"/>
      <c r="G14" s="25"/>
      <c r="H14" s="30">
        <f>IFERROR(LOOKUP($G14,'Look up Tables'!$G$3:$G$14,'Look up Tables'!$K$3:$K$14),"")</f>
        <v>2100</v>
      </c>
      <c r="I14" s="30">
        <f>IFERROR(LOOKUP($G14,'Look up Tables'!$G$3:$G$14,'Look up Tables'!$L$3:$L$14),"")</f>
        <v>200</v>
      </c>
      <c r="J14" s="31">
        <f t="shared" si="0"/>
        <v>146.63049476585931</v>
      </c>
      <c r="K14" s="31">
        <f t="shared" si="1"/>
        <v>12.830005981991691</v>
      </c>
      <c r="L14" s="46"/>
      <c r="M14" s="20"/>
      <c r="N14" s="25"/>
      <c r="O14" s="30">
        <f>IFERROR(LOOKUP($N14,'Look up Tables'!$G$3:$G$14,'Look up Tables'!$K$3:$K$14),"")</f>
        <v>2100</v>
      </c>
      <c r="P14" s="30">
        <f>IFERROR(LOOKUP($N14,'Look up Tables'!$G$3:$G$14,'Look up Tables'!$L$3:$L$14),"")</f>
        <v>200</v>
      </c>
      <c r="Q14" s="31">
        <f t="shared" si="2"/>
        <v>146.63049476585931</v>
      </c>
      <c r="R14" s="31">
        <f t="shared" si="3"/>
        <v>12.830005981991691</v>
      </c>
      <c r="S14" s="20"/>
      <c r="T14" s="20"/>
      <c r="U14" s="20"/>
      <c r="V14" s="25"/>
      <c r="W14" s="30">
        <f>IFERROR(LOOKUP($V14,'Look up Tables'!$G$3:$G$14,'Look up Tables'!$K$3:$K$14),"")</f>
        <v>2100</v>
      </c>
      <c r="X14" s="30">
        <f>IFERROR(LOOKUP($V14,'Look up Tables'!$G$3:$G$14,'Look up Tables'!$L$3:$L$14),"")</f>
        <v>200</v>
      </c>
      <c r="Y14" s="31">
        <f t="shared" si="4"/>
        <v>146.63049476585931</v>
      </c>
      <c r="Z14" s="31">
        <f t="shared" si="5"/>
        <v>12.830005981991691</v>
      </c>
    </row>
    <row r="15" spans="1:26" x14ac:dyDescent="0.3">
      <c r="A15" s="45"/>
      <c r="B15" s="19"/>
      <c r="C15" s="19"/>
      <c r="D15" s="45"/>
      <c r="E15" s="45"/>
      <c r="F15" s="20"/>
      <c r="G15" s="25"/>
      <c r="H15" s="30">
        <f>IFERROR(LOOKUP($G15,'Look up Tables'!$G$3:$G$14,'Look up Tables'!$K$3:$K$14),"")</f>
        <v>2100</v>
      </c>
      <c r="I15" s="30">
        <f>IFERROR(LOOKUP($G15,'Look up Tables'!$G$3:$G$14,'Look up Tables'!$L$3:$L$14),"")</f>
        <v>200</v>
      </c>
      <c r="J15" s="31">
        <f t="shared" si="0"/>
        <v>146.63049476585931</v>
      </c>
      <c r="K15" s="31">
        <f t="shared" si="1"/>
        <v>12.830005981991691</v>
      </c>
      <c r="L15" s="46"/>
      <c r="M15" s="20"/>
      <c r="N15" s="25"/>
      <c r="O15" s="30">
        <f>IFERROR(LOOKUP($N15,'Look up Tables'!$G$3:$G$14,'Look up Tables'!$K$3:$K$14),"")</f>
        <v>2100</v>
      </c>
      <c r="P15" s="30">
        <f>IFERROR(LOOKUP($N15,'Look up Tables'!$G$3:$G$14,'Look up Tables'!$L$3:$L$14),"")</f>
        <v>200</v>
      </c>
      <c r="Q15" s="31">
        <f t="shared" si="2"/>
        <v>146.63049476585931</v>
      </c>
      <c r="R15" s="31">
        <f t="shared" si="3"/>
        <v>12.830005981991691</v>
      </c>
      <c r="S15" s="20"/>
      <c r="T15" s="20"/>
      <c r="U15" s="20"/>
      <c r="V15" s="25"/>
      <c r="W15" s="30">
        <f>IFERROR(LOOKUP($V15,'Look up Tables'!$G$3:$G$14,'Look up Tables'!$K$3:$K$14),"")</f>
        <v>2100</v>
      </c>
      <c r="X15" s="30">
        <f>IFERROR(LOOKUP($V15,'Look up Tables'!$G$3:$G$14,'Look up Tables'!$L$3:$L$14),"")</f>
        <v>200</v>
      </c>
      <c r="Y15" s="31">
        <f t="shared" si="4"/>
        <v>146.63049476585931</v>
      </c>
      <c r="Z15" s="31">
        <f t="shared" si="5"/>
        <v>12.830005981991691</v>
      </c>
    </row>
    <row r="16" spans="1:26" x14ac:dyDescent="0.3">
      <c r="A16" s="45"/>
      <c r="B16" s="19"/>
      <c r="C16" s="19"/>
      <c r="D16" s="45"/>
      <c r="E16" s="45"/>
      <c r="F16" s="20"/>
      <c r="G16" s="25"/>
      <c r="H16" s="30">
        <f>IFERROR(LOOKUP($G16,'Look up Tables'!$G$3:$G$14,'Look up Tables'!$K$3:$K$14),"")</f>
        <v>2100</v>
      </c>
      <c r="I16" s="30">
        <f>IFERROR(LOOKUP($G16,'Look up Tables'!$G$3:$G$14,'Look up Tables'!$L$3:$L$14),"")</f>
        <v>200</v>
      </c>
      <c r="J16" s="31">
        <f t="shared" si="0"/>
        <v>146.63049476585931</v>
      </c>
      <c r="K16" s="31">
        <f t="shared" si="1"/>
        <v>12.830005981991691</v>
      </c>
      <c r="L16" s="46"/>
      <c r="M16" s="20"/>
      <c r="N16" s="25"/>
      <c r="O16" s="30">
        <f>IFERROR(LOOKUP($N16,'Look up Tables'!$G$3:$G$14,'Look up Tables'!$K$3:$K$14),"")</f>
        <v>2100</v>
      </c>
      <c r="P16" s="30">
        <f>IFERROR(LOOKUP($N16,'Look up Tables'!$G$3:$G$14,'Look up Tables'!$L$3:$L$14),"")</f>
        <v>200</v>
      </c>
      <c r="Q16" s="31">
        <f t="shared" si="2"/>
        <v>146.63049476585931</v>
      </c>
      <c r="R16" s="31">
        <f t="shared" si="3"/>
        <v>12.830005981991691</v>
      </c>
      <c r="S16" s="20"/>
      <c r="T16" s="20"/>
      <c r="U16" s="20"/>
      <c r="V16" s="25"/>
      <c r="W16" s="30">
        <f>IFERROR(LOOKUP($V16,'Look up Tables'!$G$3:$G$14,'Look up Tables'!$K$3:$K$14),"")</f>
        <v>2100</v>
      </c>
      <c r="X16" s="30">
        <f>IFERROR(LOOKUP($V16,'Look up Tables'!$G$3:$G$14,'Look up Tables'!$L$3:$L$14),"")</f>
        <v>200</v>
      </c>
      <c r="Y16" s="31">
        <f t="shared" si="4"/>
        <v>146.63049476585931</v>
      </c>
      <c r="Z16" s="31">
        <f t="shared" si="5"/>
        <v>12.830005981991691</v>
      </c>
    </row>
    <row r="17" spans="1:26" x14ac:dyDescent="0.3">
      <c r="A17" s="45"/>
      <c r="B17" s="19"/>
      <c r="C17" s="19"/>
      <c r="D17" s="45"/>
      <c r="E17" s="45"/>
      <c r="F17" s="20"/>
      <c r="G17" s="25"/>
      <c r="H17" s="30">
        <f>IFERROR(LOOKUP($G17,'Look up Tables'!$G$3:$G$14,'Look up Tables'!$K$3:$K$14),"")</f>
        <v>2100</v>
      </c>
      <c r="I17" s="30">
        <f>IFERROR(LOOKUP($G17,'Look up Tables'!$G$3:$G$14,'Look up Tables'!$L$3:$L$14),"")</f>
        <v>200</v>
      </c>
      <c r="J17" s="31">
        <f t="shared" si="0"/>
        <v>146.63049476585931</v>
      </c>
      <c r="K17" s="31">
        <f t="shared" si="1"/>
        <v>12.830005981991691</v>
      </c>
      <c r="L17" s="46"/>
      <c r="M17" s="20"/>
      <c r="N17" s="25"/>
      <c r="O17" s="30">
        <f>IFERROR(LOOKUP($N17,'Look up Tables'!$G$3:$G$14,'Look up Tables'!$K$3:$K$14),"")</f>
        <v>2100</v>
      </c>
      <c r="P17" s="30">
        <f>IFERROR(LOOKUP($N17,'Look up Tables'!$G$3:$G$14,'Look up Tables'!$L$3:$L$14),"")</f>
        <v>200</v>
      </c>
      <c r="Q17" s="31">
        <f t="shared" si="2"/>
        <v>146.63049476585931</v>
      </c>
      <c r="R17" s="31">
        <f t="shared" si="3"/>
        <v>12.830005981991691</v>
      </c>
      <c r="S17" s="20"/>
      <c r="T17" s="20"/>
      <c r="U17" s="20"/>
      <c r="V17" s="25"/>
      <c r="W17" s="30">
        <f>IFERROR(LOOKUP($V17,'Look up Tables'!$G$3:$G$14,'Look up Tables'!$K$3:$K$14),"")</f>
        <v>2100</v>
      </c>
      <c r="X17" s="30">
        <f>IFERROR(LOOKUP($V17,'Look up Tables'!$G$3:$G$14,'Look up Tables'!$L$3:$L$14),"")</f>
        <v>200</v>
      </c>
      <c r="Y17" s="31">
        <f t="shared" si="4"/>
        <v>146.63049476585931</v>
      </c>
      <c r="Z17" s="31">
        <f t="shared" si="5"/>
        <v>12.830005981991691</v>
      </c>
    </row>
    <row r="18" spans="1:26" x14ac:dyDescent="0.3">
      <c r="A18" s="45"/>
      <c r="B18" s="19"/>
      <c r="C18" s="19"/>
      <c r="D18" s="45"/>
      <c r="E18" s="45"/>
      <c r="F18" s="20"/>
      <c r="G18" s="25"/>
      <c r="H18" s="30">
        <f>IFERROR(LOOKUP($G18,'Look up Tables'!$G$3:$G$14,'Look up Tables'!$K$3:$K$14),"")</f>
        <v>2100</v>
      </c>
      <c r="I18" s="30">
        <f>IFERROR(LOOKUP($G18,'Look up Tables'!$G$3:$G$14,'Look up Tables'!$L$3:$L$14),"")</f>
        <v>200</v>
      </c>
      <c r="J18" s="31">
        <f t="shared" si="0"/>
        <v>146.63049476585931</v>
      </c>
      <c r="K18" s="31">
        <f t="shared" si="1"/>
        <v>12.830005981991691</v>
      </c>
      <c r="L18" s="46"/>
      <c r="M18" s="20"/>
      <c r="N18" s="25"/>
      <c r="O18" s="30">
        <f>IFERROR(LOOKUP($N18,'Look up Tables'!$G$3:$G$14,'Look up Tables'!$K$3:$K$14),"")</f>
        <v>2100</v>
      </c>
      <c r="P18" s="30">
        <f>IFERROR(LOOKUP($N18,'Look up Tables'!$G$3:$G$14,'Look up Tables'!$L$3:$L$14),"")</f>
        <v>200</v>
      </c>
      <c r="Q18" s="31">
        <f t="shared" si="2"/>
        <v>146.63049476585931</v>
      </c>
      <c r="R18" s="31">
        <f t="shared" si="3"/>
        <v>12.830005981991691</v>
      </c>
      <c r="S18" s="20"/>
      <c r="T18" s="20"/>
      <c r="U18" s="20"/>
      <c r="V18" s="25"/>
      <c r="W18" s="30">
        <f>IFERROR(LOOKUP($V18,'Look up Tables'!$G$3:$G$14,'Look up Tables'!$K$3:$K$14),"")</f>
        <v>2100</v>
      </c>
      <c r="X18" s="30">
        <f>IFERROR(LOOKUP($V18,'Look up Tables'!$G$3:$G$14,'Look up Tables'!$L$3:$L$14),"")</f>
        <v>200</v>
      </c>
      <c r="Y18" s="31">
        <f t="shared" si="4"/>
        <v>146.63049476585931</v>
      </c>
      <c r="Z18" s="31">
        <f t="shared" si="5"/>
        <v>12.830005981991691</v>
      </c>
    </row>
    <row r="19" spans="1:26" x14ac:dyDescent="0.3">
      <c r="A19" s="45"/>
      <c r="B19" s="19"/>
      <c r="C19" s="19"/>
      <c r="D19" s="45"/>
      <c r="E19" s="45"/>
      <c r="F19" s="20"/>
      <c r="G19" s="25"/>
      <c r="H19" s="30">
        <f>IFERROR(LOOKUP($G19,'Look up Tables'!$G$3:$G$14,'Look up Tables'!$K$3:$K$14),"")</f>
        <v>2100</v>
      </c>
      <c r="I19" s="30">
        <f>IFERROR(LOOKUP($G19,'Look up Tables'!$G$3:$G$14,'Look up Tables'!$L$3:$L$14),"")</f>
        <v>200</v>
      </c>
      <c r="J19" s="31">
        <f t="shared" si="0"/>
        <v>146.63049476585931</v>
      </c>
      <c r="K19" s="31">
        <f t="shared" si="1"/>
        <v>12.830005981991691</v>
      </c>
      <c r="L19" s="46"/>
      <c r="M19" s="20"/>
      <c r="N19" s="25"/>
      <c r="O19" s="30">
        <f>IFERROR(LOOKUP($N19,'Look up Tables'!$G$3:$G$14,'Look up Tables'!$K$3:$K$14),"")</f>
        <v>2100</v>
      </c>
      <c r="P19" s="30">
        <f>IFERROR(LOOKUP($N19,'Look up Tables'!$G$3:$G$14,'Look up Tables'!$L$3:$L$14),"")</f>
        <v>200</v>
      </c>
      <c r="Q19" s="31">
        <f t="shared" si="2"/>
        <v>146.63049476585931</v>
      </c>
      <c r="R19" s="31">
        <f t="shared" si="3"/>
        <v>12.830005981991691</v>
      </c>
      <c r="S19" s="20"/>
      <c r="T19" s="20"/>
      <c r="U19" s="20"/>
      <c r="V19" s="25"/>
      <c r="W19" s="30">
        <f>IFERROR(LOOKUP($V19,'Look up Tables'!$G$3:$G$14,'Look up Tables'!$K$3:$K$14),"")</f>
        <v>2100</v>
      </c>
      <c r="X19" s="30">
        <f>IFERROR(LOOKUP($V19,'Look up Tables'!$G$3:$G$14,'Look up Tables'!$L$3:$L$14),"")</f>
        <v>200</v>
      </c>
      <c r="Y19" s="31">
        <f t="shared" si="4"/>
        <v>146.63049476585931</v>
      </c>
      <c r="Z19" s="31">
        <f t="shared" si="5"/>
        <v>12.830005981991691</v>
      </c>
    </row>
    <row r="20" spans="1:26" x14ac:dyDescent="0.3">
      <c r="A20" s="45"/>
      <c r="B20" s="19"/>
      <c r="C20" s="19"/>
      <c r="D20" s="45"/>
      <c r="E20" s="45"/>
      <c r="F20" s="20"/>
      <c r="G20" s="25"/>
      <c r="H20" s="30">
        <f>IFERROR(LOOKUP($G20,'Look up Tables'!$G$3:$G$14,'Look up Tables'!$K$3:$K$14),"")</f>
        <v>2100</v>
      </c>
      <c r="I20" s="30">
        <f>IFERROR(LOOKUP($G20,'Look up Tables'!$G$3:$G$14,'Look up Tables'!$L$3:$L$14),"")</f>
        <v>200</v>
      </c>
      <c r="J20" s="31">
        <f t="shared" si="0"/>
        <v>146.63049476585931</v>
      </c>
      <c r="K20" s="31">
        <f t="shared" si="1"/>
        <v>12.830005981991691</v>
      </c>
      <c r="L20" s="46"/>
      <c r="M20" s="20"/>
      <c r="N20" s="25"/>
      <c r="O20" s="30">
        <f>IFERROR(LOOKUP($N20,'Look up Tables'!$G$3:$G$14,'Look up Tables'!$K$3:$K$14),"")</f>
        <v>2100</v>
      </c>
      <c r="P20" s="30">
        <f>IFERROR(LOOKUP($N20,'Look up Tables'!$G$3:$G$14,'Look up Tables'!$L$3:$L$14),"")</f>
        <v>200</v>
      </c>
      <c r="Q20" s="31">
        <f t="shared" si="2"/>
        <v>146.63049476585931</v>
      </c>
      <c r="R20" s="31">
        <f t="shared" si="3"/>
        <v>12.830005981991691</v>
      </c>
      <c r="S20" s="20"/>
      <c r="T20" s="20"/>
      <c r="U20" s="20"/>
      <c r="V20" s="25"/>
      <c r="W20" s="30">
        <f>IFERROR(LOOKUP($V20,'Look up Tables'!$G$3:$G$14,'Look up Tables'!$K$3:$K$14),"")</f>
        <v>2100</v>
      </c>
      <c r="X20" s="30">
        <f>IFERROR(LOOKUP($V20,'Look up Tables'!$G$3:$G$14,'Look up Tables'!$L$3:$L$14),"")</f>
        <v>200</v>
      </c>
      <c r="Y20" s="31">
        <f t="shared" si="4"/>
        <v>146.63049476585931</v>
      </c>
      <c r="Z20" s="31">
        <f t="shared" si="5"/>
        <v>12.830005981991691</v>
      </c>
    </row>
    <row r="21" spans="1:26" x14ac:dyDescent="0.3">
      <c r="A21" s="45"/>
      <c r="B21" s="19"/>
      <c r="C21" s="19"/>
      <c r="D21" s="45"/>
      <c r="E21" s="45"/>
      <c r="F21" s="20"/>
      <c r="G21" s="25"/>
      <c r="H21" s="30">
        <f>IFERROR(LOOKUP($G21,'Look up Tables'!$G$3:$G$14,'Look up Tables'!$K$3:$K$14),"")</f>
        <v>2100</v>
      </c>
      <c r="I21" s="30">
        <f>IFERROR(LOOKUP($G21,'Look up Tables'!$G$3:$G$14,'Look up Tables'!$L$3:$L$14),"")</f>
        <v>200</v>
      </c>
      <c r="J21" s="31">
        <f t="shared" si="0"/>
        <v>146.63049476585931</v>
      </c>
      <c r="K21" s="31">
        <f t="shared" si="1"/>
        <v>12.830005981991691</v>
      </c>
      <c r="L21" s="46"/>
      <c r="M21" s="20"/>
      <c r="N21" s="25"/>
      <c r="O21" s="30">
        <f>IFERROR(LOOKUP($N21,'Look up Tables'!$G$3:$G$14,'Look up Tables'!$K$3:$K$14),"")</f>
        <v>2100</v>
      </c>
      <c r="P21" s="30">
        <f>IFERROR(LOOKUP($N21,'Look up Tables'!$G$3:$G$14,'Look up Tables'!$L$3:$L$14),"")</f>
        <v>200</v>
      </c>
      <c r="Q21" s="31">
        <f t="shared" si="2"/>
        <v>146.63049476585931</v>
      </c>
      <c r="R21" s="31">
        <f t="shared" si="3"/>
        <v>12.830005981991691</v>
      </c>
      <c r="S21" s="20"/>
      <c r="T21" s="20"/>
      <c r="U21" s="20"/>
      <c r="V21" s="25"/>
      <c r="W21" s="30">
        <f>IFERROR(LOOKUP($V21,'Look up Tables'!$G$3:$G$14,'Look up Tables'!$K$3:$K$14),"")</f>
        <v>2100</v>
      </c>
      <c r="X21" s="30">
        <f>IFERROR(LOOKUP($V21,'Look up Tables'!$G$3:$G$14,'Look up Tables'!$L$3:$L$14),"")</f>
        <v>200</v>
      </c>
      <c r="Y21" s="31">
        <f t="shared" si="4"/>
        <v>146.63049476585931</v>
      </c>
      <c r="Z21" s="31">
        <f t="shared" si="5"/>
        <v>12.830005981991691</v>
      </c>
    </row>
    <row r="22" spans="1:26" x14ac:dyDescent="0.3">
      <c r="A22" s="4"/>
      <c r="B22" s="19"/>
      <c r="C22" s="19"/>
      <c r="D22" s="45"/>
      <c r="E22" s="4"/>
      <c r="F22" s="20"/>
      <c r="G22" s="25"/>
      <c r="H22" s="30">
        <f>IFERROR(LOOKUP($G22,'Look up Tables'!$G$3:$G$14,'Look up Tables'!$K$3:$K$14),"")</f>
        <v>2100</v>
      </c>
      <c r="I22" s="30">
        <f>IFERROR(LOOKUP($G22,'Look up Tables'!$G$3:$G$14,'Look up Tables'!$L$3:$L$14),"")</f>
        <v>200</v>
      </c>
      <c r="J22" s="31">
        <f t="shared" si="0"/>
        <v>146.63049476585931</v>
      </c>
      <c r="K22" s="31">
        <f t="shared" si="1"/>
        <v>12.830005981991691</v>
      </c>
      <c r="L22" s="46"/>
      <c r="M22" s="20"/>
      <c r="N22" s="25"/>
      <c r="O22" s="30">
        <f>IFERROR(LOOKUP($N22,'Look up Tables'!$G$3:$G$14,'Look up Tables'!$K$3:$K$14),"")</f>
        <v>2100</v>
      </c>
      <c r="P22" s="30">
        <f>IFERROR(LOOKUP($N22,'Look up Tables'!$G$3:$G$14,'Look up Tables'!$L$3:$L$14),"")</f>
        <v>200</v>
      </c>
      <c r="Q22" s="31">
        <f t="shared" si="2"/>
        <v>146.63049476585931</v>
      </c>
      <c r="R22" s="31">
        <f t="shared" si="3"/>
        <v>12.830005981991691</v>
      </c>
      <c r="S22" s="20"/>
      <c r="T22" s="20"/>
      <c r="U22" s="20"/>
      <c r="V22" s="25"/>
      <c r="W22" s="30">
        <f>IFERROR(LOOKUP($V22,'Look up Tables'!$G$3:$G$14,'Look up Tables'!$K$3:$K$14),"")</f>
        <v>2100</v>
      </c>
      <c r="X22" s="30">
        <f>IFERROR(LOOKUP($V22,'Look up Tables'!$G$3:$G$14,'Look up Tables'!$L$3:$L$14),"")</f>
        <v>200</v>
      </c>
      <c r="Y22" s="31">
        <f t="shared" si="4"/>
        <v>146.63049476585931</v>
      </c>
      <c r="Z22" s="31">
        <f t="shared" si="5"/>
        <v>12.830005981991691</v>
      </c>
    </row>
    <row r="23" spans="1:26" x14ac:dyDescent="0.3">
      <c r="A23" s="4"/>
      <c r="B23" s="19"/>
      <c r="C23" s="19"/>
      <c r="D23" s="45"/>
      <c r="E23" s="4"/>
      <c r="F23" s="20"/>
      <c r="G23" s="25"/>
      <c r="H23" s="30">
        <f>IFERROR(LOOKUP($G23,'Look up Tables'!$G$3:$G$14,'Look up Tables'!$K$3:$K$14),"")</f>
        <v>2100</v>
      </c>
      <c r="I23" s="30">
        <f>IFERROR(LOOKUP($G23,'Look up Tables'!$G$3:$G$14,'Look up Tables'!$L$3:$L$14),"")</f>
        <v>200</v>
      </c>
      <c r="J23" s="31">
        <f t="shared" si="0"/>
        <v>146.63049476585931</v>
      </c>
      <c r="K23" s="31">
        <f t="shared" si="1"/>
        <v>12.830005981991691</v>
      </c>
      <c r="L23" s="46"/>
      <c r="M23" s="20"/>
      <c r="N23" s="25"/>
      <c r="O23" s="30">
        <f>IFERROR(LOOKUP($N23,'Look up Tables'!$G$3:$G$14,'Look up Tables'!$K$3:$K$14),"")</f>
        <v>2100</v>
      </c>
      <c r="P23" s="30">
        <f>IFERROR(LOOKUP($N23,'Look up Tables'!$G$3:$G$14,'Look up Tables'!$L$3:$L$14),"")</f>
        <v>200</v>
      </c>
      <c r="Q23" s="31">
        <f t="shared" si="2"/>
        <v>146.63049476585931</v>
      </c>
      <c r="R23" s="31">
        <f t="shared" si="3"/>
        <v>12.830005981991691</v>
      </c>
      <c r="S23" s="20"/>
      <c r="T23" s="20"/>
      <c r="U23" s="20"/>
      <c r="V23" s="25"/>
      <c r="W23" s="30">
        <f>IFERROR(LOOKUP($V23,'Look up Tables'!$G$3:$G$14,'Look up Tables'!$K$3:$K$14),"")</f>
        <v>2100</v>
      </c>
      <c r="X23" s="30">
        <f>IFERROR(LOOKUP($V23,'Look up Tables'!$G$3:$G$14,'Look up Tables'!$L$3:$L$14),"")</f>
        <v>200</v>
      </c>
      <c r="Y23" s="31">
        <f t="shared" si="4"/>
        <v>146.63049476585931</v>
      </c>
      <c r="Z23" s="31">
        <f t="shared" si="5"/>
        <v>12.830005981991691</v>
      </c>
    </row>
    <row r="24" spans="1:26" x14ac:dyDescent="0.3">
      <c r="A24" s="4"/>
      <c r="B24" s="19"/>
      <c r="C24" s="19"/>
      <c r="D24" s="45"/>
      <c r="E24" s="4"/>
      <c r="F24" s="20"/>
      <c r="G24" s="25"/>
      <c r="H24" s="30">
        <f>IFERROR(LOOKUP($G24,'Look up Tables'!$G$3:$G$14,'Look up Tables'!$K$3:$K$14),"")</f>
        <v>2100</v>
      </c>
      <c r="I24" s="30">
        <f>IFERROR(LOOKUP($G24,'Look up Tables'!$G$3:$G$14,'Look up Tables'!$L$3:$L$14),"")</f>
        <v>200</v>
      </c>
      <c r="J24" s="31">
        <f t="shared" si="0"/>
        <v>146.63049476585931</v>
      </c>
      <c r="K24" s="31">
        <f t="shared" si="1"/>
        <v>12.830005981991691</v>
      </c>
      <c r="L24" s="46"/>
      <c r="M24" s="20"/>
      <c r="N24" s="25"/>
      <c r="O24" s="30">
        <f>IFERROR(LOOKUP($N24,'Look up Tables'!$G$3:$G$14,'Look up Tables'!$K$3:$K$14),"")</f>
        <v>2100</v>
      </c>
      <c r="P24" s="30">
        <f>IFERROR(LOOKUP($N24,'Look up Tables'!$G$3:$G$14,'Look up Tables'!$L$3:$L$14),"")</f>
        <v>200</v>
      </c>
      <c r="Q24" s="31">
        <f t="shared" si="2"/>
        <v>146.63049476585931</v>
      </c>
      <c r="R24" s="31">
        <f t="shared" si="3"/>
        <v>12.830005981991691</v>
      </c>
      <c r="S24" s="20"/>
      <c r="T24" s="20"/>
      <c r="U24" s="20"/>
      <c r="V24" s="25"/>
      <c r="W24" s="30">
        <f>IFERROR(LOOKUP($V24,'Look up Tables'!$G$3:$G$14,'Look up Tables'!$K$3:$K$14),"")</f>
        <v>2100</v>
      </c>
      <c r="X24" s="30">
        <f>IFERROR(LOOKUP($V24,'Look up Tables'!$G$3:$G$14,'Look up Tables'!$L$3:$L$14),"")</f>
        <v>200</v>
      </c>
      <c r="Y24" s="31">
        <f t="shared" si="4"/>
        <v>146.63049476585931</v>
      </c>
      <c r="Z24" s="31">
        <f t="shared" si="5"/>
        <v>12.830005981991691</v>
      </c>
    </row>
    <row r="25" spans="1:26" x14ac:dyDescent="0.3">
      <c r="A25" s="4"/>
      <c r="B25" s="19"/>
      <c r="C25" s="19"/>
      <c r="D25" s="45"/>
      <c r="E25" s="4"/>
      <c r="F25" s="20"/>
      <c r="G25" s="25"/>
      <c r="H25" s="30">
        <f>IFERROR(LOOKUP($G25,'Look up Tables'!$G$3:$G$14,'Look up Tables'!$K$3:$K$14),"")</f>
        <v>2100</v>
      </c>
      <c r="I25" s="30">
        <f>IFERROR(LOOKUP($G25,'Look up Tables'!$G$3:$G$14,'Look up Tables'!$L$3:$L$14),"")</f>
        <v>200</v>
      </c>
      <c r="J25" s="31">
        <f t="shared" si="0"/>
        <v>146.63049476585931</v>
      </c>
      <c r="K25" s="31">
        <f t="shared" si="1"/>
        <v>12.830005981991691</v>
      </c>
      <c r="L25" s="46"/>
      <c r="M25" s="20"/>
      <c r="N25" s="25"/>
      <c r="O25" s="30">
        <f>IFERROR(LOOKUP($N25,'Look up Tables'!$G$3:$G$14,'Look up Tables'!$K$3:$K$14),"")</f>
        <v>2100</v>
      </c>
      <c r="P25" s="30">
        <f>IFERROR(LOOKUP($N25,'Look up Tables'!$G$3:$G$14,'Look up Tables'!$L$3:$L$14),"")</f>
        <v>200</v>
      </c>
      <c r="Q25" s="31">
        <f t="shared" si="2"/>
        <v>146.63049476585931</v>
      </c>
      <c r="R25" s="31">
        <f t="shared" si="3"/>
        <v>12.830005981991691</v>
      </c>
      <c r="S25" s="20"/>
      <c r="T25" s="20"/>
      <c r="U25" s="20"/>
      <c r="V25" s="25"/>
      <c r="W25" s="30">
        <f>IFERROR(LOOKUP($V25,'Look up Tables'!$G$3:$G$14,'Look up Tables'!$K$3:$K$14),"")</f>
        <v>2100</v>
      </c>
      <c r="X25" s="30">
        <f>IFERROR(LOOKUP($V25,'Look up Tables'!$G$3:$G$14,'Look up Tables'!$L$3:$L$14),"")</f>
        <v>200</v>
      </c>
      <c r="Y25" s="31">
        <f t="shared" si="4"/>
        <v>146.63049476585931</v>
      </c>
      <c r="Z25" s="31">
        <f t="shared" si="5"/>
        <v>12.830005981991691</v>
      </c>
    </row>
    <row r="26" spans="1:26" x14ac:dyDescent="0.3">
      <c r="A26" s="4"/>
      <c r="B26" s="19"/>
      <c r="C26" s="19"/>
      <c r="D26" s="45"/>
      <c r="E26" s="4"/>
      <c r="F26" s="20"/>
      <c r="G26" s="25"/>
      <c r="H26" s="30">
        <f>IFERROR(LOOKUP($G26,'Look up Tables'!$G$3:$G$14,'Look up Tables'!$K$3:$K$14),"")</f>
        <v>2100</v>
      </c>
      <c r="I26" s="30">
        <f>IFERROR(LOOKUP($G26,'Look up Tables'!$G$3:$G$14,'Look up Tables'!$L$3:$L$14),"")</f>
        <v>200</v>
      </c>
      <c r="J26" s="31">
        <f t="shared" si="0"/>
        <v>146.63049476585931</v>
      </c>
      <c r="K26" s="31">
        <f t="shared" si="1"/>
        <v>12.830005981991691</v>
      </c>
      <c r="L26" s="46"/>
      <c r="M26" s="20"/>
      <c r="N26" s="25"/>
      <c r="O26" s="30">
        <f>IFERROR(LOOKUP($N26,'Look up Tables'!$G$3:$G$14,'Look up Tables'!$K$3:$K$14),"")</f>
        <v>2100</v>
      </c>
      <c r="P26" s="30">
        <f>IFERROR(LOOKUP($N26,'Look up Tables'!$G$3:$G$14,'Look up Tables'!$L$3:$L$14),"")</f>
        <v>200</v>
      </c>
      <c r="Q26" s="31">
        <f t="shared" si="2"/>
        <v>146.63049476585931</v>
      </c>
      <c r="R26" s="31">
        <f t="shared" si="3"/>
        <v>12.830005981991691</v>
      </c>
      <c r="S26" s="20"/>
      <c r="T26" s="20"/>
      <c r="U26" s="20"/>
      <c r="V26" s="25"/>
      <c r="W26" s="30">
        <f>IFERROR(LOOKUP($V26,'Look up Tables'!$G$3:$G$14,'Look up Tables'!$K$3:$K$14),"")</f>
        <v>2100</v>
      </c>
      <c r="X26" s="30">
        <f>IFERROR(LOOKUP($V26,'Look up Tables'!$G$3:$G$14,'Look up Tables'!$L$3:$L$14),"")</f>
        <v>200</v>
      </c>
      <c r="Y26" s="31">
        <f t="shared" si="4"/>
        <v>146.63049476585931</v>
      </c>
      <c r="Z26" s="31">
        <f t="shared" si="5"/>
        <v>12.830005981991691</v>
      </c>
    </row>
    <row r="27" spans="1:26" x14ac:dyDescent="0.3">
      <c r="A27" s="4"/>
      <c r="B27" s="19"/>
      <c r="C27" s="19"/>
      <c r="D27" s="45"/>
      <c r="E27" s="4"/>
      <c r="F27" s="20"/>
      <c r="G27" s="25"/>
      <c r="H27" s="30">
        <f>IFERROR(LOOKUP($G27,'Look up Tables'!$G$3:$G$14,'Look up Tables'!$K$3:$K$14),"")</f>
        <v>2100</v>
      </c>
      <c r="I27" s="30">
        <f>IFERROR(LOOKUP($G27,'Look up Tables'!$G$3:$G$14,'Look up Tables'!$L$3:$L$14),"")</f>
        <v>200</v>
      </c>
      <c r="J27" s="31">
        <f t="shared" si="0"/>
        <v>146.63049476585931</v>
      </c>
      <c r="K27" s="31">
        <f t="shared" si="1"/>
        <v>12.830005981991691</v>
      </c>
      <c r="L27" s="46"/>
      <c r="M27" s="20"/>
      <c r="N27" s="25"/>
      <c r="O27" s="30">
        <f>IFERROR(LOOKUP($N27,'Look up Tables'!$G$3:$G$14,'Look up Tables'!$K$3:$K$14),"")</f>
        <v>2100</v>
      </c>
      <c r="P27" s="30">
        <f>IFERROR(LOOKUP($N27,'Look up Tables'!$G$3:$G$14,'Look up Tables'!$L$3:$L$14),"")</f>
        <v>200</v>
      </c>
      <c r="Q27" s="31">
        <f t="shared" si="2"/>
        <v>146.63049476585931</v>
      </c>
      <c r="R27" s="31">
        <f t="shared" si="3"/>
        <v>12.830005981991691</v>
      </c>
      <c r="S27" s="20"/>
      <c r="T27" s="20"/>
      <c r="U27" s="20"/>
      <c r="V27" s="25"/>
      <c r="W27" s="30">
        <f>IFERROR(LOOKUP($V27,'Look up Tables'!$G$3:$G$14,'Look up Tables'!$K$3:$K$14),"")</f>
        <v>2100</v>
      </c>
      <c r="X27" s="30">
        <f>IFERROR(LOOKUP($V27,'Look up Tables'!$G$3:$G$14,'Look up Tables'!$L$3:$L$14),"")</f>
        <v>200</v>
      </c>
      <c r="Y27" s="31">
        <f t="shared" si="4"/>
        <v>146.63049476585931</v>
      </c>
      <c r="Z27" s="31">
        <f t="shared" si="5"/>
        <v>12.830005981991691</v>
      </c>
    </row>
    <row r="28" spans="1:26" x14ac:dyDescent="0.3">
      <c r="A28" s="4"/>
      <c r="B28" s="19"/>
      <c r="C28" s="19"/>
      <c r="D28" s="45"/>
      <c r="E28" s="4"/>
      <c r="F28" s="20"/>
      <c r="G28" s="25"/>
      <c r="H28" s="30">
        <f>IFERROR(LOOKUP($G28,'Look up Tables'!$G$3:$G$14,'Look up Tables'!$K$3:$K$14),"")</f>
        <v>2100</v>
      </c>
      <c r="I28" s="30">
        <f>IFERROR(LOOKUP($G28,'Look up Tables'!$G$3:$G$14,'Look up Tables'!$L$3:$L$14),"")</f>
        <v>200</v>
      </c>
      <c r="J28" s="31">
        <f t="shared" si="0"/>
        <v>146.63049476585931</v>
      </c>
      <c r="K28" s="31">
        <f t="shared" si="1"/>
        <v>12.830005981991691</v>
      </c>
      <c r="L28" s="46"/>
      <c r="M28" s="20"/>
      <c r="N28" s="25"/>
      <c r="O28" s="30">
        <f>IFERROR(LOOKUP($N28,'Look up Tables'!$G$3:$G$14,'Look up Tables'!$K$3:$K$14),"")</f>
        <v>2100</v>
      </c>
      <c r="P28" s="30">
        <f>IFERROR(LOOKUP($N28,'Look up Tables'!$G$3:$G$14,'Look up Tables'!$L$3:$L$14),"")</f>
        <v>200</v>
      </c>
      <c r="Q28" s="31">
        <f t="shared" si="2"/>
        <v>146.63049476585931</v>
      </c>
      <c r="R28" s="31">
        <f t="shared" si="3"/>
        <v>12.830005981991691</v>
      </c>
      <c r="S28" s="20"/>
      <c r="T28" s="20"/>
      <c r="U28" s="20"/>
      <c r="V28" s="25"/>
      <c r="W28" s="30">
        <f>IFERROR(LOOKUP($V28,'Look up Tables'!$G$3:$G$14,'Look up Tables'!$K$3:$K$14),"")</f>
        <v>2100</v>
      </c>
      <c r="X28" s="30">
        <f>IFERROR(LOOKUP($V28,'Look up Tables'!$G$3:$G$14,'Look up Tables'!$L$3:$L$14),"")</f>
        <v>200</v>
      </c>
      <c r="Y28" s="31">
        <f t="shared" si="4"/>
        <v>146.63049476585931</v>
      </c>
      <c r="Z28" s="31">
        <f t="shared" si="5"/>
        <v>12.830005981991691</v>
      </c>
    </row>
    <row r="29" spans="1:26" x14ac:dyDescent="0.3">
      <c r="A29" s="4"/>
      <c r="B29" s="19"/>
      <c r="C29" s="19"/>
      <c r="D29" s="45"/>
      <c r="E29" s="4"/>
      <c r="F29" s="20"/>
      <c r="G29" s="25"/>
      <c r="H29" s="30">
        <f>IFERROR(LOOKUP($G29,'Look up Tables'!$G$3:$G$14,'Look up Tables'!$K$3:$K$14),"")</f>
        <v>2100</v>
      </c>
      <c r="I29" s="30">
        <f>IFERROR(LOOKUP($G29,'Look up Tables'!$G$3:$G$14,'Look up Tables'!$L$3:$L$14),"")</f>
        <v>200</v>
      </c>
      <c r="J29" s="31">
        <f t="shared" si="0"/>
        <v>146.63049476585931</v>
      </c>
      <c r="K29" s="31">
        <f t="shared" si="1"/>
        <v>12.830005981991691</v>
      </c>
      <c r="L29" s="46"/>
      <c r="M29" s="20"/>
      <c r="N29" s="25"/>
      <c r="O29" s="30">
        <f>IFERROR(LOOKUP($N29,'Look up Tables'!$G$3:$G$14,'Look up Tables'!$K$3:$K$14),"")</f>
        <v>2100</v>
      </c>
      <c r="P29" s="30">
        <f>IFERROR(LOOKUP($N29,'Look up Tables'!$G$3:$G$14,'Look up Tables'!$L$3:$L$14),"")</f>
        <v>200</v>
      </c>
      <c r="Q29" s="31">
        <f t="shared" si="2"/>
        <v>146.63049476585931</v>
      </c>
      <c r="R29" s="31">
        <f t="shared" si="3"/>
        <v>12.830005981991691</v>
      </c>
      <c r="S29" s="20"/>
      <c r="T29" s="20"/>
      <c r="U29" s="20"/>
      <c r="V29" s="25"/>
      <c r="W29" s="30">
        <f>IFERROR(LOOKUP($V29,'Look up Tables'!$G$3:$G$14,'Look up Tables'!$K$3:$K$14),"")</f>
        <v>2100</v>
      </c>
      <c r="X29" s="30">
        <f>IFERROR(LOOKUP($V29,'Look up Tables'!$G$3:$G$14,'Look up Tables'!$L$3:$L$14),"")</f>
        <v>200</v>
      </c>
      <c r="Y29" s="31">
        <f t="shared" si="4"/>
        <v>146.63049476585931</v>
      </c>
      <c r="Z29" s="31">
        <f t="shared" si="5"/>
        <v>12.830005981991691</v>
      </c>
    </row>
    <row r="30" spans="1:26" x14ac:dyDescent="0.3">
      <c r="A30" s="4"/>
      <c r="B30" s="19"/>
      <c r="C30" s="19"/>
      <c r="D30" s="45"/>
      <c r="E30" s="4"/>
      <c r="F30" s="20"/>
      <c r="G30" s="25"/>
      <c r="H30" s="30">
        <f>IFERROR(LOOKUP($G30,'Look up Tables'!$G$3:$G$14,'Look up Tables'!$K$3:$K$14),"")</f>
        <v>2100</v>
      </c>
      <c r="I30" s="30">
        <f>IFERROR(LOOKUP($G30,'Look up Tables'!$G$3:$G$14,'Look up Tables'!$L$3:$L$14),"")</f>
        <v>200</v>
      </c>
      <c r="J30" s="31">
        <f t="shared" si="0"/>
        <v>146.63049476585931</v>
      </c>
      <c r="K30" s="31">
        <f t="shared" si="1"/>
        <v>12.830005981991691</v>
      </c>
      <c r="L30" s="46"/>
      <c r="M30" s="20"/>
      <c r="N30" s="25"/>
      <c r="O30" s="30">
        <f>IFERROR(LOOKUP($N30,'Look up Tables'!$G$3:$G$14,'Look up Tables'!$K$3:$K$14),"")</f>
        <v>2100</v>
      </c>
      <c r="P30" s="30">
        <f>IFERROR(LOOKUP($N30,'Look up Tables'!$G$3:$G$14,'Look up Tables'!$L$3:$L$14),"")</f>
        <v>200</v>
      </c>
      <c r="Q30" s="31">
        <f t="shared" si="2"/>
        <v>146.63049476585931</v>
      </c>
      <c r="R30" s="31">
        <f t="shared" si="3"/>
        <v>12.830005981991691</v>
      </c>
      <c r="S30" s="20"/>
      <c r="T30" s="20"/>
      <c r="U30" s="20"/>
      <c r="V30" s="25"/>
      <c r="W30" s="30">
        <f>IFERROR(LOOKUP($V30,'Look up Tables'!$G$3:$G$14,'Look up Tables'!$K$3:$K$14),"")</f>
        <v>2100</v>
      </c>
      <c r="X30" s="30">
        <f>IFERROR(LOOKUP($V30,'Look up Tables'!$G$3:$G$14,'Look up Tables'!$L$3:$L$14),"")</f>
        <v>200</v>
      </c>
      <c r="Y30" s="31">
        <f t="shared" si="4"/>
        <v>146.63049476585931</v>
      </c>
      <c r="Z30" s="31">
        <f t="shared" si="5"/>
        <v>12.830005981991691</v>
      </c>
    </row>
    <row r="31" spans="1:26" x14ac:dyDescent="0.3">
      <c r="A31" s="4"/>
      <c r="B31" s="19"/>
      <c r="C31" s="19"/>
      <c r="D31" s="45"/>
      <c r="E31" s="4"/>
      <c r="F31" s="20"/>
      <c r="G31" s="25"/>
      <c r="H31" s="30">
        <f>IFERROR(LOOKUP($G31,'Look up Tables'!$G$3:$G$14,'Look up Tables'!$K$3:$K$14),"")</f>
        <v>2100</v>
      </c>
      <c r="I31" s="30">
        <f>IFERROR(LOOKUP($G31,'Look up Tables'!$G$3:$G$14,'Look up Tables'!$L$3:$L$14),"")</f>
        <v>200</v>
      </c>
      <c r="J31" s="31">
        <f t="shared" si="0"/>
        <v>146.63049476585931</v>
      </c>
      <c r="K31" s="31">
        <f t="shared" si="1"/>
        <v>12.830005981991691</v>
      </c>
      <c r="L31" s="46"/>
      <c r="M31" s="20"/>
      <c r="N31" s="25"/>
      <c r="O31" s="30">
        <f>IFERROR(LOOKUP($N31,'Look up Tables'!$G$3:$G$14,'Look up Tables'!$K$3:$K$14),"")</f>
        <v>2100</v>
      </c>
      <c r="P31" s="30">
        <f>IFERROR(LOOKUP($N31,'Look up Tables'!$G$3:$G$14,'Look up Tables'!$L$3:$L$14),"")</f>
        <v>200</v>
      </c>
      <c r="Q31" s="31">
        <f t="shared" si="2"/>
        <v>146.63049476585931</v>
      </c>
      <c r="R31" s="31">
        <f t="shared" si="3"/>
        <v>12.830005981991691</v>
      </c>
      <c r="S31" s="20"/>
      <c r="T31" s="20"/>
      <c r="U31" s="20"/>
      <c r="V31" s="25"/>
      <c r="W31" s="30">
        <f>IFERROR(LOOKUP($V31,'Look up Tables'!$G$3:$G$14,'Look up Tables'!$K$3:$K$14),"")</f>
        <v>2100</v>
      </c>
      <c r="X31" s="30">
        <f>IFERROR(LOOKUP($V31,'Look up Tables'!$G$3:$G$14,'Look up Tables'!$L$3:$L$14),"")</f>
        <v>200</v>
      </c>
      <c r="Y31" s="31">
        <f t="shared" si="4"/>
        <v>146.63049476585931</v>
      </c>
      <c r="Z31" s="31">
        <f t="shared" si="5"/>
        <v>12.830005981991691</v>
      </c>
    </row>
    <row r="32" spans="1:26" x14ac:dyDescent="0.3">
      <c r="A32" s="4"/>
      <c r="B32" s="19"/>
      <c r="C32" s="19"/>
      <c r="D32" s="45"/>
      <c r="E32" s="4"/>
      <c r="F32" s="20"/>
      <c r="G32" s="25"/>
      <c r="H32" s="30">
        <f>IFERROR(LOOKUP($G32,'Look up Tables'!$G$3:$G$14,'Look up Tables'!$K$3:$K$14),"")</f>
        <v>2100</v>
      </c>
      <c r="I32" s="30">
        <f>IFERROR(LOOKUP($G32,'Look up Tables'!$G$3:$G$14,'Look up Tables'!$L$3:$L$14),"")</f>
        <v>200</v>
      </c>
      <c r="J32" s="31">
        <f t="shared" si="0"/>
        <v>146.63049476585931</v>
      </c>
      <c r="K32" s="31">
        <f t="shared" si="1"/>
        <v>12.830005981991691</v>
      </c>
      <c r="L32" s="46"/>
      <c r="M32" s="20"/>
      <c r="N32" s="25"/>
      <c r="O32" s="30">
        <f>IFERROR(LOOKUP($N32,'Look up Tables'!$G$3:$G$14,'Look up Tables'!$K$3:$K$14),"")</f>
        <v>2100</v>
      </c>
      <c r="P32" s="30">
        <f>IFERROR(LOOKUP($N32,'Look up Tables'!$G$3:$G$14,'Look up Tables'!$L$3:$L$14),"")</f>
        <v>200</v>
      </c>
      <c r="Q32" s="31">
        <f t="shared" si="2"/>
        <v>146.63049476585931</v>
      </c>
      <c r="R32" s="31">
        <f t="shared" si="3"/>
        <v>12.830005981991691</v>
      </c>
      <c r="S32" s="20"/>
      <c r="T32" s="20"/>
      <c r="U32" s="20"/>
      <c r="V32" s="25"/>
      <c r="W32" s="30">
        <f>IFERROR(LOOKUP($V32,'Look up Tables'!$G$3:$G$14,'Look up Tables'!$K$3:$K$14),"")</f>
        <v>2100</v>
      </c>
      <c r="X32" s="30">
        <f>IFERROR(LOOKUP($V32,'Look up Tables'!$G$3:$G$14,'Look up Tables'!$L$3:$L$14),"")</f>
        <v>200</v>
      </c>
      <c r="Y32" s="31">
        <f t="shared" si="4"/>
        <v>146.63049476585931</v>
      </c>
      <c r="Z32" s="31">
        <f t="shared" si="5"/>
        <v>12.830005981991691</v>
      </c>
    </row>
    <row r="33" spans="1:26" x14ac:dyDescent="0.3">
      <c r="A33" s="4"/>
      <c r="B33" s="19"/>
      <c r="C33" s="19"/>
      <c r="D33" s="45"/>
      <c r="E33" s="4"/>
      <c r="F33" s="20"/>
      <c r="G33" s="25"/>
      <c r="H33" s="30">
        <f>IFERROR(LOOKUP($G33,'Look up Tables'!$G$3:$G$14,'Look up Tables'!$K$3:$K$14),"")</f>
        <v>2100</v>
      </c>
      <c r="I33" s="30">
        <f>IFERROR(LOOKUP($G33,'Look up Tables'!$G$3:$G$14,'Look up Tables'!$L$3:$L$14),"")</f>
        <v>200</v>
      </c>
      <c r="J33" s="31">
        <f t="shared" si="0"/>
        <v>146.63049476585931</v>
      </c>
      <c r="K33" s="31">
        <f t="shared" si="1"/>
        <v>12.830005981991691</v>
      </c>
      <c r="L33" s="46"/>
      <c r="M33" s="20"/>
      <c r="N33" s="25"/>
      <c r="O33" s="30">
        <f>IFERROR(LOOKUP($N33,'Look up Tables'!$G$3:$G$14,'Look up Tables'!$K$3:$K$14),"")</f>
        <v>2100</v>
      </c>
      <c r="P33" s="30">
        <f>IFERROR(LOOKUP($N33,'Look up Tables'!$G$3:$G$14,'Look up Tables'!$L$3:$L$14),"")</f>
        <v>200</v>
      </c>
      <c r="Q33" s="31">
        <f t="shared" si="2"/>
        <v>146.63049476585931</v>
      </c>
      <c r="R33" s="31">
        <f t="shared" si="3"/>
        <v>12.830005981991691</v>
      </c>
      <c r="S33" s="20"/>
      <c r="T33" s="20"/>
      <c r="U33" s="20"/>
      <c r="V33" s="25"/>
      <c r="W33" s="30">
        <f>IFERROR(LOOKUP($V33,'Look up Tables'!$G$3:$G$14,'Look up Tables'!$K$3:$K$14),"")</f>
        <v>2100</v>
      </c>
      <c r="X33" s="30">
        <f>IFERROR(LOOKUP($V33,'Look up Tables'!$G$3:$G$14,'Look up Tables'!$L$3:$L$14),"")</f>
        <v>200</v>
      </c>
      <c r="Y33" s="31">
        <f t="shared" si="4"/>
        <v>146.63049476585931</v>
      </c>
      <c r="Z33" s="31">
        <f t="shared" si="5"/>
        <v>12.830005981991691</v>
      </c>
    </row>
    <row r="34" spans="1:26" x14ac:dyDescent="0.3">
      <c r="A34" s="4"/>
      <c r="B34" s="19"/>
      <c r="C34" s="19"/>
      <c r="D34" s="45"/>
      <c r="E34" s="4"/>
      <c r="F34" s="20"/>
      <c r="G34" s="25"/>
      <c r="H34" s="30">
        <f>IFERROR(LOOKUP($G34,'Look up Tables'!$G$3:$G$14,'Look up Tables'!$K$3:$K$14),"")</f>
        <v>2100</v>
      </c>
      <c r="I34" s="30">
        <f>IFERROR(LOOKUP($G34,'Look up Tables'!$G$3:$G$14,'Look up Tables'!$L$3:$L$14),"")</f>
        <v>200</v>
      </c>
      <c r="J34" s="31">
        <f t="shared" si="0"/>
        <v>146.63049476585931</v>
      </c>
      <c r="K34" s="31">
        <f t="shared" si="1"/>
        <v>12.830005981991691</v>
      </c>
      <c r="L34" s="46"/>
      <c r="M34" s="20"/>
      <c r="N34" s="25"/>
      <c r="O34" s="30">
        <f>IFERROR(LOOKUP($N34,'Look up Tables'!$G$3:$G$14,'Look up Tables'!$K$3:$K$14),"")</f>
        <v>2100</v>
      </c>
      <c r="P34" s="30">
        <f>IFERROR(LOOKUP($N34,'Look up Tables'!$G$3:$G$14,'Look up Tables'!$L$3:$L$14),"")</f>
        <v>200</v>
      </c>
      <c r="Q34" s="31">
        <f t="shared" si="2"/>
        <v>146.63049476585931</v>
      </c>
      <c r="R34" s="31">
        <f t="shared" si="3"/>
        <v>12.830005981991691</v>
      </c>
      <c r="S34" s="20"/>
      <c r="T34" s="20"/>
      <c r="U34" s="20"/>
      <c r="V34" s="25"/>
      <c r="W34" s="30">
        <f>IFERROR(LOOKUP($V34,'Look up Tables'!$G$3:$G$14,'Look up Tables'!$K$3:$K$14),"")</f>
        <v>2100</v>
      </c>
      <c r="X34" s="30">
        <f>IFERROR(LOOKUP($V34,'Look up Tables'!$G$3:$G$14,'Look up Tables'!$L$3:$L$14),"")</f>
        <v>200</v>
      </c>
      <c r="Y34" s="31">
        <f t="shared" si="4"/>
        <v>146.63049476585931</v>
      </c>
      <c r="Z34" s="31">
        <f t="shared" si="5"/>
        <v>12.830005981991691</v>
      </c>
    </row>
    <row r="35" spans="1:26" x14ac:dyDescent="0.3">
      <c r="A35" s="4"/>
      <c r="B35" s="19"/>
      <c r="C35" s="19"/>
      <c r="D35" s="45"/>
      <c r="E35" s="4"/>
      <c r="F35" s="20"/>
      <c r="G35" s="25"/>
      <c r="H35" s="30">
        <f>IFERROR(LOOKUP($G35,'Look up Tables'!$G$3:$G$14,'Look up Tables'!$K$3:$K$14),"")</f>
        <v>2100</v>
      </c>
      <c r="I35" s="30">
        <f>IFERROR(LOOKUP($G35,'Look up Tables'!$G$3:$G$14,'Look up Tables'!$L$3:$L$14),"")</f>
        <v>200</v>
      </c>
      <c r="J35" s="31">
        <f t="shared" si="0"/>
        <v>146.63049476585931</v>
      </c>
      <c r="K35" s="31">
        <f t="shared" si="1"/>
        <v>12.830005981991691</v>
      </c>
      <c r="L35" s="46"/>
      <c r="M35" s="20"/>
      <c r="N35" s="25"/>
      <c r="O35" s="30">
        <f>IFERROR(LOOKUP($N35,'Look up Tables'!$G$3:$G$14,'Look up Tables'!$K$3:$K$14),"")</f>
        <v>2100</v>
      </c>
      <c r="P35" s="30">
        <f>IFERROR(LOOKUP($N35,'Look up Tables'!$G$3:$G$14,'Look up Tables'!$L$3:$L$14),"")</f>
        <v>200</v>
      </c>
      <c r="Q35" s="31">
        <f t="shared" si="2"/>
        <v>146.63049476585931</v>
      </c>
      <c r="R35" s="31">
        <f t="shared" si="3"/>
        <v>12.830005981991691</v>
      </c>
      <c r="S35" s="20"/>
      <c r="T35" s="20"/>
      <c r="U35" s="20"/>
      <c r="V35" s="25"/>
      <c r="W35" s="30">
        <f>IFERROR(LOOKUP($V35,'Look up Tables'!$G$3:$G$14,'Look up Tables'!$K$3:$K$14),"")</f>
        <v>2100</v>
      </c>
      <c r="X35" s="30">
        <f>IFERROR(LOOKUP($V35,'Look up Tables'!$G$3:$G$14,'Look up Tables'!$L$3:$L$14),"")</f>
        <v>200</v>
      </c>
      <c r="Y35" s="31">
        <f t="shared" si="4"/>
        <v>146.63049476585931</v>
      </c>
      <c r="Z35" s="31">
        <f t="shared" si="5"/>
        <v>12.830005981991691</v>
      </c>
    </row>
    <row r="36" spans="1:26" x14ac:dyDescent="0.3">
      <c r="A36" s="4"/>
      <c r="B36" s="19"/>
      <c r="C36" s="19"/>
      <c r="D36" s="45"/>
      <c r="E36" s="4"/>
      <c r="F36" s="20"/>
      <c r="G36" s="25"/>
      <c r="H36" s="30">
        <f>IFERROR(LOOKUP($G36,'Look up Tables'!$G$3:$G$14,'Look up Tables'!$K$3:$K$14),"")</f>
        <v>2100</v>
      </c>
      <c r="I36" s="30">
        <f>IFERROR(LOOKUP($G36,'Look up Tables'!$G$3:$G$14,'Look up Tables'!$L$3:$L$14),"")</f>
        <v>200</v>
      </c>
      <c r="J36" s="31">
        <f t="shared" si="0"/>
        <v>146.63049476585931</v>
      </c>
      <c r="K36" s="31">
        <f t="shared" si="1"/>
        <v>12.830005981991691</v>
      </c>
      <c r="L36" s="46"/>
      <c r="M36" s="20"/>
      <c r="N36" s="25"/>
      <c r="O36" s="30">
        <f>IFERROR(LOOKUP($N36,'Look up Tables'!$G$3:$G$14,'Look up Tables'!$K$3:$K$14),"")</f>
        <v>2100</v>
      </c>
      <c r="P36" s="30">
        <f>IFERROR(LOOKUP($N36,'Look up Tables'!$G$3:$G$14,'Look up Tables'!$L$3:$L$14),"")</f>
        <v>200</v>
      </c>
      <c r="Q36" s="31">
        <f t="shared" si="2"/>
        <v>146.63049476585931</v>
      </c>
      <c r="R36" s="31">
        <f t="shared" si="3"/>
        <v>12.830005981991691</v>
      </c>
      <c r="S36" s="20"/>
      <c r="T36" s="20"/>
      <c r="U36" s="20"/>
      <c r="V36" s="25"/>
      <c r="W36" s="30">
        <f>IFERROR(LOOKUP($V36,'Look up Tables'!$G$3:$G$14,'Look up Tables'!$K$3:$K$14),"")</f>
        <v>2100</v>
      </c>
      <c r="X36" s="30">
        <f>IFERROR(LOOKUP($V36,'Look up Tables'!$G$3:$G$14,'Look up Tables'!$L$3:$L$14),"")</f>
        <v>200</v>
      </c>
      <c r="Y36" s="31">
        <f t="shared" si="4"/>
        <v>146.63049476585931</v>
      </c>
      <c r="Z36" s="31">
        <f t="shared" si="5"/>
        <v>12.830005981991691</v>
      </c>
    </row>
    <row r="37" spans="1:26" x14ac:dyDescent="0.3">
      <c r="A37" s="4"/>
      <c r="B37" s="19"/>
      <c r="C37" s="19"/>
      <c r="D37" s="45"/>
      <c r="E37" s="4"/>
      <c r="F37" s="20"/>
      <c r="G37" s="25"/>
      <c r="H37" s="30">
        <f>IFERROR(LOOKUP($G37,'Look up Tables'!$G$3:$G$14,'Look up Tables'!$K$3:$K$14),"")</f>
        <v>2100</v>
      </c>
      <c r="I37" s="30">
        <f>IFERROR(LOOKUP($G37,'Look up Tables'!$G$3:$G$14,'Look up Tables'!$L$3:$L$14),"")</f>
        <v>200</v>
      </c>
      <c r="J37" s="31">
        <f t="shared" si="0"/>
        <v>146.63049476585931</v>
      </c>
      <c r="K37" s="31">
        <f t="shared" si="1"/>
        <v>12.830005981991691</v>
      </c>
      <c r="L37" s="46"/>
      <c r="M37" s="20"/>
      <c r="N37" s="25"/>
      <c r="O37" s="30">
        <f>IFERROR(LOOKUP($N37,'Look up Tables'!$G$3:$G$14,'Look up Tables'!$K$3:$K$14),"")</f>
        <v>2100</v>
      </c>
      <c r="P37" s="30">
        <f>IFERROR(LOOKUP($N37,'Look up Tables'!$G$3:$G$14,'Look up Tables'!$L$3:$L$14),"")</f>
        <v>200</v>
      </c>
      <c r="Q37" s="31">
        <f t="shared" si="2"/>
        <v>146.63049476585931</v>
      </c>
      <c r="R37" s="31">
        <f t="shared" si="3"/>
        <v>12.830005981991691</v>
      </c>
      <c r="S37" s="20"/>
      <c r="T37" s="20"/>
      <c r="U37" s="20"/>
      <c r="V37" s="25"/>
      <c r="W37" s="30">
        <f>IFERROR(LOOKUP($V37,'Look up Tables'!$G$3:$G$14,'Look up Tables'!$K$3:$K$14),"")</f>
        <v>2100</v>
      </c>
      <c r="X37" s="30">
        <f>IFERROR(LOOKUP($V37,'Look up Tables'!$G$3:$G$14,'Look up Tables'!$L$3:$L$14),"")</f>
        <v>200</v>
      </c>
      <c r="Y37" s="31">
        <f t="shared" si="4"/>
        <v>146.63049476585931</v>
      </c>
      <c r="Z37" s="31">
        <f t="shared" si="5"/>
        <v>12.830005981991691</v>
      </c>
    </row>
    <row r="38" spans="1:26" ht="62.4" x14ac:dyDescent="0.3">
      <c r="A38" s="8" cm="1">
        <f t="array" ref="A38">LOOKUP(2,1/((E24&gt;='Look up Tables'!B22:B45)*(E24&lt;='Look up Tables'!C22:C45)),'Look up Tables'!E22:E45)</f>
        <v>0</v>
      </c>
      <c r="B38" s="24" t="s">
        <v>108</v>
      </c>
      <c r="C38" s="58">
        <v>2.9</v>
      </c>
      <c r="D38" s="24" t="s">
        <v>111</v>
      </c>
      <c r="E38" s="8">
        <f>MIN(E7:E37)</f>
        <v>0</v>
      </c>
      <c r="F38" s="16" t="str">
        <f>IFERROR(MEDIAN(F7:F37),"Waiting…")</f>
        <v>Waiting…</v>
      </c>
      <c r="I38" s="24" t="s">
        <v>73</v>
      </c>
      <c r="J38" s="31">
        <f>MEDIAN(J7:J37)</f>
        <v>146.63049476585931</v>
      </c>
      <c r="K38" s="31">
        <f>MEDIAN(K7:K37)</f>
        <v>12.830005981991691</v>
      </c>
      <c r="L38"/>
      <c r="M38" s="16" t="str">
        <f>IFERROR(MEDIAN(M7:M37),"Waiting…")</f>
        <v>Waiting…</v>
      </c>
      <c r="O38"/>
      <c r="P38" s="29" t="s">
        <v>73</v>
      </c>
      <c r="Q38" s="31">
        <f>IFERROR(MEDIAN(Q7:Q37),"Waiting…")</f>
        <v>146.63049476585931</v>
      </c>
      <c r="R38" s="31">
        <f>IFERROR(MEDIAN(R7:R37),"Waiting…")</f>
        <v>12.830005981991691</v>
      </c>
      <c r="S38" s="8" t="str">
        <f>IFERROR(MEDIAN(S7:S37),"Waiting…")</f>
        <v>Waiting…</v>
      </c>
      <c r="T38" s="8"/>
      <c r="U38" s="8" t="str">
        <f>IFERROR(MEDIAN(U7:U37),"Waiting…")</f>
        <v>Waiting…</v>
      </c>
      <c r="W38"/>
      <c r="X38" s="29" t="s">
        <v>73</v>
      </c>
      <c r="Y38" s="31">
        <f>IFERROR(MEDIAN(Y7:Y37),"Waiting…")</f>
        <v>146.63049476585931</v>
      </c>
      <c r="Z38" s="31">
        <f>IFERROR(MEDIAN(Z7:Z37),"Waiting…")</f>
        <v>12.830005981991691</v>
      </c>
    </row>
    <row r="39" spans="1:26" ht="31.2" x14ac:dyDescent="0.3">
      <c r="A39" s="13" t="s">
        <v>90</v>
      </c>
      <c r="B39" s="24" t="s">
        <v>109</v>
      </c>
      <c r="C39" s="57">
        <v>3</v>
      </c>
      <c r="D39" s="8">
        <v>25</v>
      </c>
      <c r="E39" s="24" t="s">
        <v>88</v>
      </c>
      <c r="F39" s="24" t="s">
        <v>89</v>
      </c>
      <c r="I39" s="21" t="s">
        <v>74</v>
      </c>
      <c r="J39" s="31">
        <f>J38-'Look up Tables'!K3</f>
        <v>-1953.3695052341407</v>
      </c>
      <c r="K39" s="31">
        <f>K38-'Look up Tables'!L3</f>
        <v>-187.16999401800831</v>
      </c>
      <c r="L39"/>
      <c r="M39" s="24" t="s">
        <v>80</v>
      </c>
      <c r="O39"/>
      <c r="P39" s="21" t="s">
        <v>79</v>
      </c>
      <c r="Q39" s="31">
        <f>IFERROR(J38-Q38,"Waiting…")</f>
        <v>0</v>
      </c>
      <c r="R39" s="31">
        <f>IFERROR(K38-R38,"Waiting…")</f>
        <v>0</v>
      </c>
      <c r="S39" s="16" t="str">
        <f>IFERROR((S38-M38)/5,"Waiting…")</f>
        <v>Waiting…</v>
      </c>
      <c r="T39" s="16"/>
      <c r="U39" s="16" t="str">
        <f>IFERROR((U38-M38)/9,"Waiting…")</f>
        <v>Waiting…</v>
      </c>
      <c r="W39"/>
      <c r="X39" s="21" t="s">
        <v>91</v>
      </c>
      <c r="Y39" s="31">
        <f>IFERROR(Q38-Y38,"Waiting…")</f>
        <v>0</v>
      </c>
      <c r="Z39" s="31">
        <f>IFERROR(R38-Z38,"Waiting…")</f>
        <v>0</v>
      </c>
    </row>
    <row r="40" spans="1:26" ht="31.2" x14ac:dyDescent="0.3">
      <c r="A40" s="27" t="str">
        <f>IF(COUNTA(A7:A37)&gt;=A38, "YES","Need additional sites")</f>
        <v>YES</v>
      </c>
      <c r="B40" s="38"/>
      <c r="C40" s="38"/>
      <c r="D40"/>
      <c r="E40" s="7" t="str">
        <f>IF(E38&gt;1,"YES","NO")</f>
        <v>NO</v>
      </c>
      <c r="F40" s="7" t="str">
        <f>IF(F38&gt;30,"YES","NO")</f>
        <v>YES</v>
      </c>
      <c r="G40" s="38"/>
      <c r="H40" s="38"/>
      <c r="I40" s="38"/>
      <c r="J40" s="38"/>
      <c r="K40" s="38"/>
      <c r="L40" s="38"/>
      <c r="M40" s="38"/>
      <c r="O40"/>
      <c r="P40" s="22" t="s">
        <v>34</v>
      </c>
      <c r="Q40" s="60">
        <f>IFERROR(Q39*$E$5*2.2,"Waiting…")</f>
        <v>0</v>
      </c>
      <c r="R40" s="60">
        <f>IFERROR(R39*$E$5*2.2,"Waiting…")</f>
        <v>0</v>
      </c>
      <c r="S40" s="13" t="str" cm="1">
        <f t="array" ref="S40">_xlfn.IFS(S38&lt;=30,"Yes, Credits on track",S38&gt;30,"NO, additional projects needed")</f>
        <v>NO, additional projects needed</v>
      </c>
      <c r="T40" s="43"/>
      <c r="U40" s="13" t="str" cm="1">
        <f t="array" ref="U40">_xlfn.IFS(U38&lt;=30,"NO Revision, Extend Current Credits",U38&gt;30,"YES, proceed with revision process")</f>
        <v>YES, proceed with revision process</v>
      </c>
      <c r="W40"/>
      <c r="X40" s="22" t="s">
        <v>72</v>
      </c>
      <c r="Y40" s="59">
        <f>IFERROR(Y39*$E$5*2.2,"Waiting…")</f>
        <v>0</v>
      </c>
      <c r="Z40" s="59">
        <f>IFERROR(Z39*$E$5*2.2,"Waiting…")</f>
        <v>0</v>
      </c>
    </row>
    <row r="41" spans="1:26" x14ac:dyDescent="0.3">
      <c r="B41" s="38"/>
      <c r="C41" s="38"/>
      <c r="G41" s="38"/>
      <c r="H41" s="38"/>
      <c r="I41" s="38"/>
      <c r="J41" s="38"/>
      <c r="K41" s="38"/>
      <c r="L41" s="38"/>
      <c r="M41" s="38"/>
      <c r="N41" s="35"/>
      <c r="O41" s="35"/>
      <c r="P41" s="35"/>
      <c r="Q41" s="35"/>
      <c r="R41" s="35"/>
      <c r="S41" s="35"/>
      <c r="T41" s="35"/>
      <c r="U41" s="35"/>
      <c r="W41" s="35"/>
      <c r="X41" s="35"/>
      <c r="Y41" s="35"/>
    </row>
    <row r="42" spans="1:26" ht="15.6" customHeight="1" x14ac:dyDescent="0.3">
      <c r="Y42" s="35"/>
    </row>
    <row r="44" spans="1:26" x14ac:dyDescent="0.3">
      <c r="F44" s="9"/>
      <c r="G44" s="3"/>
      <c r="Y44" s="35"/>
    </row>
    <row r="45" spans="1:26" x14ac:dyDescent="0.3">
      <c r="Y45" s="35"/>
    </row>
    <row r="46" spans="1:26" x14ac:dyDescent="0.3">
      <c r="Y46" s="35"/>
    </row>
    <row r="47" spans="1:26" x14ac:dyDescent="0.3">
      <c r="Y47" s="35"/>
    </row>
    <row r="48" spans="1:26" x14ac:dyDescent="0.3">
      <c r="Y48" s="35"/>
    </row>
    <row r="49" spans="25:26" x14ac:dyDescent="0.3">
      <c r="Y49" s="35"/>
    </row>
    <row r="50" spans="25:26" x14ac:dyDescent="0.3">
      <c r="Y50" s="35"/>
    </row>
    <row r="51" spans="25:26" ht="33.6" customHeight="1" x14ac:dyDescent="0.3">
      <c r="Y51" s="35"/>
    </row>
    <row r="52" spans="25:26" x14ac:dyDescent="0.3">
      <c r="Y52" s="35"/>
    </row>
    <row r="53" spans="25:26" x14ac:dyDescent="0.3">
      <c r="Y53" s="35"/>
    </row>
    <row r="54" spans="25:26" x14ac:dyDescent="0.3">
      <c r="Y54" s="35"/>
    </row>
    <row r="55" spans="25:26" x14ac:dyDescent="0.3">
      <c r="Y55" s="35"/>
    </row>
    <row r="56" spans="25:26" x14ac:dyDescent="0.3">
      <c r="Y56" s="35"/>
    </row>
    <row r="57" spans="25:26" x14ac:dyDescent="0.3">
      <c r="Y57" s="35"/>
    </row>
    <row r="58" spans="25:26" x14ac:dyDescent="0.3">
      <c r="Y58" s="35"/>
    </row>
    <row r="59" spans="25:26" x14ac:dyDescent="0.3">
      <c r="Y59" s="35"/>
      <c r="Z59" s="35"/>
    </row>
    <row r="60" spans="25:26" x14ac:dyDescent="0.3">
      <c r="Y60" s="35"/>
      <c r="Z60" s="35"/>
    </row>
    <row r="61" spans="25:26" ht="16.2" customHeight="1" x14ac:dyDescent="0.3"/>
    <row r="62" spans="25:26" ht="14.4" customHeight="1" x14ac:dyDescent="0.3"/>
    <row r="72" spans="6:6" x14ac:dyDescent="0.3">
      <c r="F72" s="35"/>
    </row>
    <row r="73" spans="6:6" x14ac:dyDescent="0.3">
      <c r="F73" s="35"/>
    </row>
    <row r="74" spans="6:6" x14ac:dyDescent="0.3">
      <c r="F74" s="35"/>
    </row>
    <row r="75" spans="6:6" x14ac:dyDescent="0.3">
      <c r="F75" s="35"/>
    </row>
    <row r="76" spans="6:6" x14ac:dyDescent="0.3">
      <c r="F76" s="35"/>
    </row>
    <row r="77" spans="6:6" x14ac:dyDescent="0.3">
      <c r="F77" s="35"/>
    </row>
    <row r="78" spans="6:6" x14ac:dyDescent="0.3">
      <c r="F78" s="35"/>
    </row>
    <row r="79" spans="6:6" x14ac:dyDescent="0.3">
      <c r="F79" s="35"/>
    </row>
    <row r="80" spans="6:6" x14ac:dyDescent="0.3">
      <c r="F80" s="35"/>
    </row>
    <row r="81" spans="6:6" x14ac:dyDescent="0.3">
      <c r="F81" s="35"/>
    </row>
    <row r="82" spans="6:6" x14ac:dyDescent="0.3">
      <c r="F82" s="35"/>
    </row>
    <row r="83" spans="6:6" x14ac:dyDescent="0.3">
      <c r="F83" s="35"/>
    </row>
    <row r="84" spans="6:6" x14ac:dyDescent="0.3">
      <c r="F84" s="35"/>
    </row>
    <row r="85" spans="6:6" x14ac:dyDescent="0.3">
      <c r="F85" s="35"/>
    </row>
  </sheetData>
  <mergeCells count="5">
    <mergeCell ref="B1:I1"/>
    <mergeCell ref="B2:I2"/>
    <mergeCell ref="F5:K5"/>
    <mergeCell ref="L5:R5"/>
    <mergeCell ref="T5:Z5"/>
  </mergeCells>
  <conditionalFormatting sqref="E40:F40">
    <cfRule type="containsText" dxfId="8" priority="8" operator="containsText" text="NO">
      <formula>NOT(ISERROR(SEARCH("NO",E40)))</formula>
    </cfRule>
    <cfRule type="containsText" dxfId="7" priority="9" operator="containsText" text="YES">
      <formula>NOT(ISERROR(SEARCH("YES",E40)))</formula>
    </cfRule>
  </conditionalFormatting>
  <conditionalFormatting sqref="U40">
    <cfRule type="containsText" dxfId="6" priority="6" operator="containsText" text="Yes">
      <formula>NOT(ISERROR(SEARCH("Yes",U40)))</formula>
    </cfRule>
    <cfRule type="containsText" dxfId="5" priority="7" operator="containsText" text="No">
      <formula>NOT(ISERROR(SEARCH("No",U40)))</formula>
    </cfRule>
  </conditionalFormatting>
  <conditionalFormatting sqref="A40">
    <cfRule type="containsText" dxfId="4" priority="1" operator="containsText" text="Need additional sites">
      <formula>NOT(ISERROR(SEARCH("Need additional sites",A40)))</formula>
    </cfRule>
    <cfRule type="containsText" dxfId="3" priority="4" operator="containsText" text="NO">
      <formula>NOT(ISERROR(SEARCH("NO",A40)))</formula>
    </cfRule>
    <cfRule type="containsText" dxfId="2" priority="5" operator="containsText" text="YES">
      <formula>NOT(ISERROR(SEARCH("YES",A40)))</formula>
    </cfRule>
  </conditionalFormatting>
  <conditionalFormatting sqref="S40:T40">
    <cfRule type="containsText" dxfId="1" priority="2" operator="containsText" text="NO">
      <formula>NOT(ISERROR(SEARCH("NO",S40)))</formula>
    </cfRule>
    <cfRule type="containsText" dxfId="0" priority="3" operator="containsText" text="YES">
      <formula>NOT(ISERROR(SEARCH("YES",S40)))</formula>
    </cfRule>
  </conditionalFormatting>
  <dataValidations count="45">
    <dataValidation allowBlank="1" showInputMessage="1" showErrorMessage="1" promptTitle="5-yr PD Accumulation Assesment " prompt="If median muck thickness is greater than 30 cm and accrual rate is &gt;= 2.5 cm/yr, additional projects must be considered to reduce sedimentation and meet the agreed upon credit." sqref="S40:T40" xr:uid="{4FFD6EFC-0B0A-4613-B7F3-5747B37B5D47}"/>
    <dataValidation allowBlank="1" showInputMessage="1" showErrorMessage="1" promptTitle="9-yr PD Revision Assesment " prompt="If median muck thickness is greater than 30 cm, revisions to credit are needed and additional projects need to be considered to meet the original agreed upon nutrient removal in the BMAP." sqref="U40" xr:uid="{2C09FFDD-DC9E-48E2-9039-017F3B61064E}"/>
    <dataValidation allowBlank="1" showInputMessage="1" showErrorMessage="1" promptTitle="9-yr Post Dredge Date" prompt="When did you assess muck thickness and take your loss on ignition (LOI) samples nine years following the dredge activity?" sqref="O3:R3 I3:L3" xr:uid="{4F13EE08-D5CE-438C-861B-D6A80A5AA413}"/>
    <dataValidation allowBlank="1" showInputMessage="1" showErrorMessage="1" promptTitle="Project area" prompt="What is your project area in acres?" sqref="B5" xr:uid="{310C46C1-A26A-431E-A4D4-00474DC1607B}"/>
    <dataValidation allowBlank="1" showInputMessage="1" showErrorMessage="1" promptTitle="&lt;6-month PD P Flux" prompt="P Flux pre net - post net, kg/km2/yr" sqref="R39" xr:uid="{71539EDC-6EF8-4D90-9B8C-5EB0474499BC}"/>
    <dataValidation allowBlank="1" showInputMessage="1" showErrorMessage="1" promptTitle="9-yr PD P Flux" prompt="P Flux pre net - 9-yr net, kg/km2/yr" sqref="X39" xr:uid="{4A4980ED-67CC-4E57-8FF2-16896F949319}"/>
    <dataValidation allowBlank="1" showInputMessage="1" showErrorMessage="1" prompt="Minimum number of sites to sample based on area to be dredged." sqref="A38" xr:uid="{87B6C257-02BF-4F81-8E22-AA98E32A0257}"/>
    <dataValidation allowBlank="1" showInputMessage="1" showErrorMessage="1" promptTitle="5-yr Post Dredge Date" prompt="When did you assess muck thickness samples five years following the dredge activity?" sqref="G3 I3:L3" xr:uid="{74BD9312-04E6-494D-A635-88913E68F4A7}"/>
    <dataValidation allowBlank="1" showInputMessage="1" showErrorMessage="1" promptTitle="Pre-Dredge Date" prompt="When did you assess muck thickness and take your loss on ignition (LOI) samples prior to dredging activities?" sqref="B3" xr:uid="{21DD6344-D862-48B2-BFB8-2CB82C418BBB}"/>
    <dataValidation allowBlank="1" showInputMessage="1" showErrorMessage="1" promptTitle="Pre-dredge Date" prompt="When did you assess muck thickness and take your loss on ignition (LOI) samples prior to the dredge activity?" sqref="B3" xr:uid="{7EC424BE-1C67-4EA9-BABD-3D76C741A1A4}"/>
    <dataValidation allowBlank="1" showInputMessage="1" showErrorMessage="1" promptTitle="%LOI Pre-Dredge" prompt="Percent loss on ignition for sample prior to dredging." sqref="G6:K6" xr:uid="{73343462-A464-4DB0-AD32-69AE81EBA2A5}"/>
    <dataValidation allowBlank="1" showInputMessage="1" showErrorMessage="1" promptTitle="%LOI &lt;6-month PD" prompt="Percent loss on ignition for sample after less than six months post dredge." sqref="W6:Z6 N6:R6" xr:uid="{8EAAFF4A-D1AF-45E2-8A17-CBBAB02C8C55}"/>
    <dataValidation allowBlank="1" showInputMessage="1" showErrorMessage="1" promptTitle="%LOI 9-yr PD" prompt="Percent loss on ignition for sample after nine years post dredge." sqref="V6" xr:uid="{B56CA343-1D92-4A21-ACB0-D31079687E77}"/>
    <dataValidation allowBlank="1" showInputMessage="1" showErrorMessage="1" promptTitle="Muck thickness (cm) 5-yr PD" prompt="Check in to see muck accumulation to determine if additional land based treatment needs to be considered to prevent additional muck accumulation and maintain credits." sqref="S6" xr:uid="{BFE9A96B-F7EB-4773-8FD5-B1E58F53E8BC}"/>
    <dataValidation allowBlank="1" showInputMessage="1" showErrorMessage="1" promptTitle="Muck thickness (cm) 9-yr PD" prompt="Muck surveyed in 9th year re-assesses project area's median muck thickness relative to the 30 cm threshold." sqref="U6" xr:uid="{59BB06DF-F58A-42AF-82CE-9EDA3E4B1E68}"/>
    <dataValidation allowBlank="1" showInputMessage="1" showErrorMessage="1" promptTitle="Muck thickness (cm) &lt;6-month PD" prompt="How deep is the muck at the sampling sites no more than 6-months after dredging? It's ok if there is no muck accumulation, that's great!" sqref="M6" xr:uid="{6133C85C-B619-47D8-9C8C-742601A625D5}"/>
    <dataValidation allowBlank="1" showInputMessage="1" showErrorMessage="1" promptTitle="Muck thickness (cm)" prompt="How deep is the muck at the sampling site prior to dredging." sqref="F6" xr:uid="{859923BD-B8BE-418D-9FD3-2459BA0C9936}"/>
    <dataValidation allowBlank="1" showInputMessage="1" showErrorMessage="1" promptTitle="Are there enough sample sites?" prompt="Yes, if the number of sampling sites is equal or greater than the minimum required sample sites." sqref="A40" xr:uid="{D3D9E951-19A2-4D5B-80A5-C70D0B47F079}"/>
    <dataValidation allowBlank="1" showInputMessage="1" showErrorMessage="1" promptTitle="Pre-Dredge Date" prompt="When did you assess muck thickness and take your loss on ignition (LOI) samples?" sqref="B2" xr:uid="{1B1B87A5-EA1A-4CE1-98AD-578FC0885049}"/>
    <dataValidation allowBlank="1" showInputMessage="1" showErrorMessage="1" promptTitle="How fast has muck accumulated?" prompt="If accrual rate is &lt; 2.5 cm/yr, revisions may not be necessary, however the median muck thickness still needs to be assessed and will ultimately determine if credits need to be revised." sqref="S39:U39" xr:uid="{63FDD713-57D9-4938-920E-8D43B0FEE7FB}"/>
    <dataValidation allowBlank="1" showInputMessage="1" showErrorMessage="1" promptTitle="Salinity" prompt="Insert your salinity in PSU where it was measured." sqref="E6" xr:uid="{B4E70FB8-5B81-4D8F-8F73-4C53A98599D9}"/>
    <dataValidation allowBlank="1" showInputMessage="1" showErrorMessage="1" promptTitle="Longitude" prompt="Insert your location data for each site in decimal degrees." sqref="L6 T6 C6:D6" xr:uid="{1D0952DF-B1C5-41F6-92A5-F54D88E0576F}"/>
    <dataValidation allowBlank="1" showInputMessage="1" showErrorMessage="1" promptTitle="Latitude" prompt="Insert your location data for each site in decimal degrees." sqref="B6" xr:uid="{ECB60CBA-63BC-4492-93D0-AEC089330DDB}"/>
    <dataValidation allowBlank="1" showInputMessage="1" showErrorMessage="1" promptTitle="Sampling Sites" prompt="Insert your sampling sites. In addition, please provide an attached map or shapefile of the sampling sites." sqref="A6" xr:uid="{0B37AF93-C24F-45E9-87AB-04268E4E5EEA}"/>
    <dataValidation allowBlank="1" showInputMessage="1" showErrorMessage="1" promptTitle="BMAP Zone" prompt="What zone of the BMAP is the project in?" sqref="B2" xr:uid="{BD5E7B6B-50FA-4BD3-93FC-68E01EDFBA41}"/>
    <dataValidation allowBlank="1" showInputMessage="1" showErrorMessage="1" promptTitle="Name your project" prompt="What is your project's name?" sqref="B1" xr:uid="{53A49C7F-AD8E-4A8B-A70B-C4F5A13398DC}"/>
    <dataValidation allowBlank="1" showInputMessage="1" showErrorMessage="1" promptTitle="9-yr Post Dredge:" prompt="Median of muck thicknesses (cm), All sites" sqref="U38" xr:uid="{1C312DFC-5CFB-4CE1-9884-15B557767CEB}"/>
    <dataValidation allowBlank="1" showInputMessage="1" showErrorMessage="1" promptTitle="5-yr Thickness:" prompt="Median of muck thicknesses (cm), All sites" sqref="S38:T38" xr:uid="{077DFE99-D5EE-4E8C-BD5C-14BA71BDA313}"/>
    <dataValidation allowBlank="1" showInputMessage="1" showErrorMessage="1" promptTitle="TN Credit" prompt="TN BMAP Credits, net lb/yr removed" sqref="Y40 Q40" xr:uid="{84A8F2FC-8B4C-4D17-8EA7-A40B00BD2BD7}"/>
    <dataValidation allowBlank="1" showInputMessage="1" showErrorMessage="1" promptTitle="TP Credit" prompt="TP BMAP Credits, net lb/yr removed" sqref="X40 R40 Z40" xr:uid="{898F91D3-2947-4976-AC35-F077A610FB0C}"/>
    <dataValidation allowBlank="1" showInputMessage="1" showErrorMessage="1" promptTitle="&lt;6-month PD N Flux" prompt="N Flux pre net - post net, kg/km2/yr" sqref="Q39" xr:uid="{CF1E691A-DD75-4EA8-A10A-3893A320048D}"/>
    <dataValidation allowBlank="1" showInputMessage="1" showErrorMessage="1" promptTitle="Pre-Dredge:" prompt="Median of muck thicknesses (cm), All sites" sqref="F38" xr:uid="{881E3EDC-21F7-4F7F-B1C9-ED21AFDEF84C}"/>
    <dataValidation allowBlank="1" showInputMessage="1" showErrorMessage="1" promptTitle="Provisional N Flux" prompt="Provisional N Flux initial net, kg/km2/yr" sqref="J39" xr:uid="{BA2A245A-DCDB-41E6-9009-2F3202EAF4B9}"/>
    <dataValidation allowBlank="1" showInputMessage="1" showErrorMessage="1" promptTitle="Muck thickness met?" prompt="Yes, if median muck depth is &gt;= 30 cm" sqref="F40" xr:uid="{AC78A425-7658-44CE-AA69-21BDA072FB54}"/>
    <dataValidation allowBlank="1" showInputMessage="1" showErrorMessage="1" promptTitle="Salinity Criterion Met?" prompt="Yes if value is &gt;= 1 psu" sqref="E40" xr:uid="{5CBDE8BF-94CD-4D79-98DA-64AA5211BE82}"/>
    <dataValidation allowBlank="1" showInputMessage="1" showErrorMessage="1" prompt="Minimum salinity of the sampled sites" sqref="E38" xr:uid="{AB59E80D-7049-4F7A-A3AD-3F89DF9EE8AB}"/>
    <dataValidation allowBlank="1" showInputMessage="1" showErrorMessage="1" promptTitle="&lt;6-month Post Dredge:" prompt="Median of muck thicknesses (cm), All sites" sqref="M38" xr:uid="{110A50AA-9243-4F9D-B9AC-A275F0D2F1EE}"/>
    <dataValidation allowBlank="1" showInputMessage="1" showErrorMessage="1" promptTitle="Five-Year Post Dredge Date" prompt="When did you assess muck thickness samples five years following the dredge activity?" sqref="F3" xr:uid="{FA70FDDA-2909-41A2-BE38-3D7F8E9CF990}"/>
    <dataValidation allowBlank="1" showInputMessage="1" showErrorMessage="1" promptTitle="Nine-Year Post Dredge Date" prompt="When did you assess muck thickness samples nine years following the dredge activity?" sqref="H3" xr:uid="{739B911C-7CA4-4359-A11B-A092B80B7E73}"/>
    <dataValidation allowBlank="1" showInputMessage="1" showErrorMessage="1" promptTitle="10-yr PD N Flux" prompt="N Flux pre net - post net, kg/km2/yr" sqref="Y39" xr:uid="{DAB4FFFC-D4E8-4037-A1EE-3354AA69CE31}"/>
    <dataValidation allowBlank="1" showInputMessage="1" showErrorMessage="1" promptTitle="10-yr PD P Flux" prompt="P Flux pre net - post net, kg/km2/yr" sqref="Z39" xr:uid="{6A147901-6647-4AAF-9596-11274E9FFB51}"/>
    <dataValidation allowBlank="1" showInputMessage="1" showErrorMessage="1" prompt="This cell will automatically calculate your project area into square kilometers." sqref="D5:E5" xr:uid="{FFCBC12D-3176-489B-93CA-9AC933B0D268}"/>
    <dataValidation allowBlank="1" showInputMessage="1" showErrorMessage="1" promptTitle="&lt;6-month Post Dredge Date" prompt="What date did you sample no more than six months following the dredge activity?" sqref="D3:E3" xr:uid="{60D90B6B-C1E7-4F44-AA4A-E9C96720A81F}"/>
    <dataValidation allowBlank="1" showInputMessage="1" showErrorMessage="1" promptTitle="&lt; 6-month Post Dredge Date" prompt="When did you assess muck thickness and take your loss on ignition (LOI) samples no more than six months following the dredge activity?" sqref="D3:E3" xr:uid="{8DC7C1F8-5495-4BEB-AD6D-9F7155C37395}"/>
    <dataValidation allowBlank="1" showInputMessage="1" showErrorMessage="1" promptTitle="Provisional P Flux" prompt="Provisional P Flux initial net, kg/km2/yr" sqref="K39" xr:uid="{1CDF01F6-8111-47F5-BBD1-3DEADF5A5667}"/>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5243-7295-4CC0-A9BF-1760E10BB4A1}">
  <dimension ref="A1:L26"/>
  <sheetViews>
    <sheetView workbookViewId="0">
      <selection activeCell="J13" sqref="J13"/>
    </sheetView>
  </sheetViews>
  <sheetFormatPr defaultRowHeight="14.4" x14ac:dyDescent="0.3"/>
  <cols>
    <col min="1" max="1" width="3.21875" bestFit="1" customWidth="1"/>
    <col min="2" max="3" width="6" bestFit="1" customWidth="1"/>
    <col min="4" max="4" width="13.33203125" bestFit="1" customWidth="1"/>
    <col min="5" max="5" width="8.77734375" bestFit="1" customWidth="1"/>
    <col min="6" max="6" width="6.5546875" bestFit="1" customWidth="1"/>
    <col min="7" max="8" width="3.21875" bestFit="1" customWidth="1"/>
    <col min="9" max="9" width="5.44140625" bestFit="1" customWidth="1"/>
    <col min="10" max="10" width="14.109375" customWidth="1"/>
    <col min="11" max="11" width="7.109375" bestFit="1" customWidth="1"/>
    <col min="12" max="12" width="6.109375" bestFit="1" customWidth="1"/>
  </cols>
  <sheetData>
    <row r="1" spans="1:12" ht="48.6" customHeight="1" x14ac:dyDescent="0.3">
      <c r="A1" s="2"/>
      <c r="B1" s="2"/>
      <c r="C1" s="2"/>
      <c r="D1" s="68" t="s">
        <v>66</v>
      </c>
      <c r="E1" s="66"/>
      <c r="G1" s="2"/>
      <c r="H1" s="2"/>
      <c r="I1" s="2"/>
      <c r="J1" s="68" t="s">
        <v>27</v>
      </c>
      <c r="K1" s="66"/>
      <c r="L1" s="66"/>
    </row>
    <row r="2" spans="1:12" ht="31.2" x14ac:dyDescent="0.3">
      <c r="A2" s="2"/>
      <c r="B2" s="69" t="s">
        <v>103</v>
      </c>
      <c r="C2" s="70"/>
      <c r="D2" s="71"/>
      <c r="E2" s="6" t="s">
        <v>70</v>
      </c>
      <c r="G2" s="2"/>
      <c r="H2" s="72" t="s">
        <v>67</v>
      </c>
      <c r="I2" s="72"/>
      <c r="J2" s="72"/>
      <c r="K2" s="14" t="s">
        <v>13</v>
      </c>
      <c r="L2" s="14" t="s">
        <v>14</v>
      </c>
    </row>
    <row r="3" spans="1:12" ht="15.6" x14ac:dyDescent="0.3">
      <c r="A3" s="18">
        <v>0</v>
      </c>
      <c r="B3" s="50">
        <v>4.0000000000000001E-3</v>
      </c>
      <c r="C3" s="51">
        <v>8.0000000000000002E-3</v>
      </c>
      <c r="D3" s="48" t="s">
        <v>38</v>
      </c>
      <c r="E3" s="5">
        <v>6</v>
      </c>
      <c r="F3" s="5" t="s">
        <v>39</v>
      </c>
      <c r="G3" s="18">
        <v>0</v>
      </c>
      <c r="H3" s="49">
        <v>0</v>
      </c>
      <c r="I3" s="49">
        <v>10</v>
      </c>
      <c r="J3" s="52" t="s">
        <v>26</v>
      </c>
      <c r="K3" s="15">
        <v>2100</v>
      </c>
      <c r="L3" s="14">
        <v>200</v>
      </c>
    </row>
    <row r="4" spans="1:12" ht="15.6" x14ac:dyDescent="0.3">
      <c r="A4" s="18">
        <v>1</v>
      </c>
      <c r="B4" s="49">
        <v>8.0000000000000002E-3</v>
      </c>
      <c r="C4" s="51">
        <v>1.7000000000000001E-2</v>
      </c>
      <c r="D4" s="5" t="s">
        <v>40</v>
      </c>
      <c r="E4" s="5">
        <v>7</v>
      </c>
      <c r="F4" s="5" t="s">
        <v>41</v>
      </c>
      <c r="G4" s="18">
        <v>10</v>
      </c>
      <c r="H4" s="49">
        <v>10</v>
      </c>
      <c r="I4" s="49">
        <v>10.9</v>
      </c>
      <c r="J4" s="14" t="s">
        <v>15</v>
      </c>
      <c r="K4" s="15">
        <v>8000</v>
      </c>
      <c r="L4" s="14">
        <v>400</v>
      </c>
    </row>
    <row r="5" spans="1:12" ht="15.6" x14ac:dyDescent="0.3">
      <c r="A5" s="18">
        <v>2</v>
      </c>
      <c r="B5" s="49">
        <v>1.7000000000000001E-2</v>
      </c>
      <c r="C5" s="51">
        <v>2.5000000000000001E-2</v>
      </c>
      <c r="D5" s="5" t="s">
        <v>42</v>
      </c>
      <c r="E5" s="5">
        <v>9</v>
      </c>
      <c r="F5" s="5" t="s">
        <v>43</v>
      </c>
      <c r="G5" s="18">
        <v>11</v>
      </c>
      <c r="H5" s="49">
        <v>11</v>
      </c>
      <c r="I5" s="49">
        <v>11.9</v>
      </c>
      <c r="J5" s="14" t="s">
        <v>16</v>
      </c>
      <c r="K5" s="15">
        <v>9000</v>
      </c>
      <c r="L5" s="14">
        <v>500</v>
      </c>
    </row>
    <row r="6" spans="1:12" ht="15.6" x14ac:dyDescent="0.3">
      <c r="A6" s="18">
        <v>3</v>
      </c>
      <c r="B6" s="49">
        <v>2.5000000000000001E-2</v>
      </c>
      <c r="C6" s="51">
        <v>4.2000000000000003E-2</v>
      </c>
      <c r="D6" s="5" t="s">
        <v>44</v>
      </c>
      <c r="E6" s="5">
        <v>10</v>
      </c>
      <c r="F6" s="5" t="s">
        <v>45</v>
      </c>
      <c r="G6" s="18">
        <v>12</v>
      </c>
      <c r="H6" s="49">
        <v>12</v>
      </c>
      <c r="I6" s="49">
        <v>12.9</v>
      </c>
      <c r="J6" s="14" t="s">
        <v>17</v>
      </c>
      <c r="K6" s="15">
        <v>10000</v>
      </c>
      <c r="L6" s="14">
        <v>700</v>
      </c>
    </row>
    <row r="7" spans="1:12" ht="15.6" x14ac:dyDescent="0.3">
      <c r="A7" s="18">
        <v>4</v>
      </c>
      <c r="B7" s="49">
        <v>4.2000000000000003E-2</v>
      </c>
      <c r="C7" s="51">
        <v>5.3999999999999999E-2</v>
      </c>
      <c r="D7" s="5" t="s">
        <v>46</v>
      </c>
      <c r="E7" s="5">
        <v>11</v>
      </c>
      <c r="G7" s="18">
        <v>13</v>
      </c>
      <c r="H7" s="49">
        <v>13</v>
      </c>
      <c r="I7" s="49">
        <v>13.9</v>
      </c>
      <c r="J7" s="14" t="s">
        <v>18</v>
      </c>
      <c r="K7" s="15">
        <v>11000</v>
      </c>
      <c r="L7" s="14">
        <v>800</v>
      </c>
    </row>
    <row r="8" spans="1:12" ht="15.6" x14ac:dyDescent="0.3">
      <c r="A8" s="18">
        <v>5</v>
      </c>
      <c r="B8" s="49">
        <v>5.3999999999999999E-2</v>
      </c>
      <c r="C8" s="51">
        <v>7.0999999999999994E-2</v>
      </c>
      <c r="D8" s="5" t="s">
        <v>47</v>
      </c>
      <c r="E8" s="5">
        <v>12</v>
      </c>
      <c r="G8" s="18">
        <v>14</v>
      </c>
      <c r="H8" s="49">
        <v>14</v>
      </c>
      <c r="I8" s="49">
        <v>14.9</v>
      </c>
      <c r="J8" s="14" t="s">
        <v>19</v>
      </c>
      <c r="K8" s="15">
        <v>13000</v>
      </c>
      <c r="L8" s="15">
        <v>1000</v>
      </c>
    </row>
    <row r="9" spans="1:12" ht="15.6" x14ac:dyDescent="0.3">
      <c r="A9" s="18">
        <v>6</v>
      </c>
      <c r="B9" s="49">
        <v>7.0999999999999994E-2</v>
      </c>
      <c r="C9" s="51">
        <v>8.3000000000000004E-2</v>
      </c>
      <c r="D9" s="5" t="s">
        <v>48</v>
      </c>
      <c r="E9" s="5">
        <v>13</v>
      </c>
      <c r="G9" s="18">
        <v>15</v>
      </c>
      <c r="H9" s="49">
        <v>15</v>
      </c>
      <c r="I9" s="49">
        <v>15.9</v>
      </c>
      <c r="J9" s="14" t="s">
        <v>20</v>
      </c>
      <c r="K9" s="15">
        <v>15000</v>
      </c>
      <c r="L9" s="15">
        <v>1200</v>
      </c>
    </row>
    <row r="10" spans="1:12" ht="15.6" x14ac:dyDescent="0.3">
      <c r="A10" s="18">
        <v>7</v>
      </c>
      <c r="B10" s="49">
        <v>8.3000000000000004E-2</v>
      </c>
      <c r="C10" s="51">
        <v>0.108</v>
      </c>
      <c r="D10" s="5" t="s">
        <v>49</v>
      </c>
      <c r="E10" s="5">
        <v>14</v>
      </c>
      <c r="G10" s="18">
        <v>16</v>
      </c>
      <c r="H10" s="49">
        <v>16</v>
      </c>
      <c r="I10" s="49">
        <v>16.899999999999999</v>
      </c>
      <c r="J10" s="14" t="s">
        <v>21</v>
      </c>
      <c r="K10" s="15">
        <v>17000</v>
      </c>
      <c r="L10" s="15">
        <v>1500</v>
      </c>
    </row>
    <row r="11" spans="1:12" ht="15.6" x14ac:dyDescent="0.3">
      <c r="A11" s="18">
        <v>8</v>
      </c>
      <c r="B11" s="49">
        <v>0.108</v>
      </c>
      <c r="C11" s="51">
        <v>0.13300000000000001</v>
      </c>
      <c r="D11" s="5" t="s">
        <v>50</v>
      </c>
      <c r="E11" s="5">
        <v>15</v>
      </c>
      <c r="G11" s="18">
        <v>17</v>
      </c>
      <c r="H11" s="49">
        <v>17</v>
      </c>
      <c r="I11" s="49">
        <v>17.899999999999999</v>
      </c>
      <c r="J11" s="14" t="s">
        <v>22</v>
      </c>
      <c r="K11" s="15">
        <v>20000</v>
      </c>
      <c r="L11" s="15">
        <v>1800</v>
      </c>
    </row>
    <row r="12" spans="1:12" ht="15.6" x14ac:dyDescent="0.3">
      <c r="A12" s="18">
        <v>9</v>
      </c>
      <c r="B12" s="49">
        <v>0.13300000000000001</v>
      </c>
      <c r="C12" s="51">
        <v>0.16700000000000001</v>
      </c>
      <c r="D12" s="5" t="s">
        <v>51</v>
      </c>
      <c r="E12" s="5">
        <v>16</v>
      </c>
      <c r="G12" s="18">
        <v>18</v>
      </c>
      <c r="H12" s="49">
        <v>18</v>
      </c>
      <c r="I12" s="49">
        <v>18.899999999999999</v>
      </c>
      <c r="J12" s="14" t="s">
        <v>23</v>
      </c>
      <c r="K12" s="15">
        <v>25000</v>
      </c>
      <c r="L12" s="15">
        <v>2300</v>
      </c>
    </row>
    <row r="13" spans="1:12" ht="15.6" x14ac:dyDescent="0.3">
      <c r="A13" s="18">
        <v>10</v>
      </c>
      <c r="B13" s="49">
        <v>0.16700000000000001</v>
      </c>
      <c r="C13" s="51">
        <v>0.192</v>
      </c>
      <c r="D13" s="5" t="s">
        <v>52</v>
      </c>
      <c r="E13" s="5">
        <v>17</v>
      </c>
      <c r="G13" s="18">
        <v>19</v>
      </c>
      <c r="H13" s="49">
        <v>19</v>
      </c>
      <c r="I13" s="49">
        <v>19.899999999999999</v>
      </c>
      <c r="J13" s="14" t="s">
        <v>24</v>
      </c>
      <c r="K13" s="15">
        <v>31000</v>
      </c>
      <c r="L13" s="15">
        <v>3000</v>
      </c>
    </row>
    <row r="14" spans="1:12" ht="15.6" x14ac:dyDescent="0.3">
      <c r="A14" s="18">
        <v>11</v>
      </c>
      <c r="B14" s="49">
        <v>0.192</v>
      </c>
      <c r="C14" s="51">
        <v>0.23300000000000001</v>
      </c>
      <c r="D14" s="5" t="s">
        <v>53</v>
      </c>
      <c r="E14" s="5">
        <v>18</v>
      </c>
      <c r="G14" s="18">
        <v>20</v>
      </c>
      <c r="H14" s="49">
        <v>20</v>
      </c>
      <c r="I14" s="49">
        <v>20</v>
      </c>
      <c r="J14" s="14" t="s">
        <v>68</v>
      </c>
      <c r="K14" s="15">
        <v>41000</v>
      </c>
      <c r="L14" s="15">
        <v>3900</v>
      </c>
    </row>
    <row r="15" spans="1:12" ht="15.6" x14ac:dyDescent="0.3">
      <c r="A15" s="18">
        <v>12</v>
      </c>
      <c r="B15" s="49">
        <v>0.23300000000000001</v>
      </c>
      <c r="C15" s="51">
        <v>0.27500000000000002</v>
      </c>
      <c r="D15" s="5" t="s">
        <v>54</v>
      </c>
      <c r="E15" s="5">
        <v>19</v>
      </c>
    </row>
    <row r="16" spans="1:12" ht="15.6" x14ac:dyDescent="0.3">
      <c r="A16" s="18">
        <v>13</v>
      </c>
      <c r="B16" s="49">
        <v>0.27500000000000002</v>
      </c>
      <c r="C16" s="51">
        <v>0.317</v>
      </c>
      <c r="D16" s="5" t="s">
        <v>55</v>
      </c>
      <c r="E16" s="5">
        <v>20</v>
      </c>
    </row>
    <row r="17" spans="1:5" ht="15.6" x14ac:dyDescent="0.3">
      <c r="A17" s="18">
        <v>14</v>
      </c>
      <c r="B17" s="49">
        <v>0.317</v>
      </c>
      <c r="C17" s="51">
        <v>0.36699999999999999</v>
      </c>
      <c r="D17" s="5" t="s">
        <v>56</v>
      </c>
      <c r="E17" s="5">
        <v>21</v>
      </c>
    </row>
    <row r="18" spans="1:5" ht="15.6" x14ac:dyDescent="0.3">
      <c r="A18" s="18">
        <v>15</v>
      </c>
      <c r="B18" s="49">
        <v>0.36699999999999999</v>
      </c>
      <c r="C18" s="51">
        <v>0.41699999999999998</v>
      </c>
      <c r="D18" s="5" t="s">
        <v>57</v>
      </c>
      <c r="E18" s="5">
        <v>22</v>
      </c>
    </row>
    <row r="19" spans="1:5" ht="15.6" x14ac:dyDescent="0.3">
      <c r="A19" s="18">
        <v>16</v>
      </c>
      <c r="B19" s="49">
        <v>0.41699999999999998</v>
      </c>
      <c r="C19" s="51">
        <v>0.48299999999999998</v>
      </c>
      <c r="D19" s="5" t="s">
        <v>58</v>
      </c>
      <c r="E19" s="5">
        <v>23</v>
      </c>
    </row>
    <row r="20" spans="1:5" ht="15.6" x14ac:dyDescent="0.3">
      <c r="A20" s="18">
        <v>17</v>
      </c>
      <c r="B20" s="49">
        <v>0.48299999999999998</v>
      </c>
      <c r="C20" s="51">
        <v>0.54200000000000004</v>
      </c>
      <c r="D20" s="5" t="s">
        <v>59</v>
      </c>
      <c r="E20" s="5">
        <v>24</v>
      </c>
    </row>
    <row r="21" spans="1:5" ht="15.6" x14ac:dyDescent="0.3">
      <c r="A21" s="18">
        <v>18</v>
      </c>
      <c r="B21" s="49">
        <v>0.54200000000000004</v>
      </c>
      <c r="C21" s="51">
        <v>0.625</v>
      </c>
      <c r="D21" s="5" t="s">
        <v>60</v>
      </c>
      <c r="E21" s="5">
        <v>25</v>
      </c>
    </row>
    <row r="22" spans="1:5" ht="15.6" x14ac:dyDescent="0.3">
      <c r="A22" s="18">
        <v>19</v>
      </c>
      <c r="B22" s="49">
        <v>0.625</v>
      </c>
      <c r="C22" s="51">
        <v>0.69199999999999995</v>
      </c>
      <c r="D22" s="5" t="s">
        <v>61</v>
      </c>
      <c r="E22" s="5">
        <v>26</v>
      </c>
    </row>
    <row r="23" spans="1:5" ht="15.6" x14ac:dyDescent="0.3">
      <c r="A23" s="18">
        <v>20</v>
      </c>
      <c r="B23" s="49">
        <v>0.69199999999999995</v>
      </c>
      <c r="C23" s="51">
        <v>0.77500000000000002</v>
      </c>
      <c r="D23" s="5" t="s">
        <v>62</v>
      </c>
      <c r="E23" s="5">
        <v>27</v>
      </c>
    </row>
    <row r="24" spans="1:5" ht="15.6" x14ac:dyDescent="0.3">
      <c r="A24" s="18">
        <v>21</v>
      </c>
      <c r="B24" s="49">
        <v>0.77500000000000002</v>
      </c>
      <c r="C24" s="51">
        <v>0.85799999999999998</v>
      </c>
      <c r="D24" s="5" t="s">
        <v>63</v>
      </c>
      <c r="E24" s="5">
        <v>28</v>
      </c>
    </row>
    <row r="25" spans="1:5" ht="15.6" x14ac:dyDescent="0.3">
      <c r="A25" s="18">
        <v>22</v>
      </c>
      <c r="B25" s="49">
        <v>0.85799999999999998</v>
      </c>
      <c r="C25" s="51">
        <v>0.93799999999999994</v>
      </c>
      <c r="D25" s="5" t="s">
        <v>64</v>
      </c>
      <c r="E25" s="5">
        <v>29</v>
      </c>
    </row>
    <row r="26" spans="1:5" ht="15.6" x14ac:dyDescent="0.3">
      <c r="A26" s="18">
        <v>23</v>
      </c>
      <c r="B26" s="49">
        <v>0.93799999999999994</v>
      </c>
      <c r="C26" s="51">
        <v>1</v>
      </c>
      <c r="D26" s="5" t="s">
        <v>65</v>
      </c>
      <c r="E26" s="5">
        <v>30</v>
      </c>
    </row>
  </sheetData>
  <sheetProtection algorithmName="SHA-512" hashValue="CoDa0Z8jmOQA5u0r9QKt1GDJsmoSRRUGpbEQMfW3uODBPEJg/iHsVNusmRCVG1ao8i7VTTYzAa/OecBlgsiM6A==" saltValue="xNJtIb0u+C1ciHswBLz0Xg==" spinCount="100000" sheet="1" objects="1" scenarios="1"/>
  <mergeCells count="4">
    <mergeCell ref="J1:L1"/>
    <mergeCell ref="D1:E1"/>
    <mergeCell ref="B2:D2"/>
    <mergeCell ref="H2:J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Example</vt:lpstr>
      <vt:lpstr>Blank</vt:lpstr>
      <vt:lpstr>Look up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Shailesh Patel</dc:creator>
  <cp:lastModifiedBy>Cecil, Stacy</cp:lastModifiedBy>
  <dcterms:created xsi:type="dcterms:W3CDTF">2021-07-07T00:36:05Z</dcterms:created>
  <dcterms:modified xsi:type="dcterms:W3CDTF">2022-05-12T16:38:09Z</dcterms:modified>
</cp:coreProperties>
</file>