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https://wildwoodconsultingfl.sharepoint.com/sites/WildwoodFiles/Shared Documents/FileServer Data/FDEP Statewide Support/OSTDS Calc Methods/"/>
    </mc:Choice>
  </mc:AlternateContent>
  <xr:revisionPtr revIDLastSave="0" documentId="8_{3967FC06-177C-44FB-BF9B-2E0B7DF19F3B}" xr6:coauthVersionLast="47" xr6:coauthVersionMax="47" xr10:uidLastSave="{00000000-0000-0000-0000-000000000000}"/>
  <bookViews>
    <workbookView xWindow="-108" yWindow="-108" windowWidth="23256" windowHeight="12456" tabRatio="757" xr2:uid="{5067B02D-A28C-4FDE-A50D-9CA3802DA29A}"/>
  </bookViews>
  <sheets>
    <sheet name="Instructions" sheetId="8" r:id="rId1"/>
    <sheet name="SPRINGS_OSTDS_Residential" sheetId="11" r:id="rId2"/>
    <sheet name="SPRINGS_OSTDS_Commecial_Calcs" sheetId="13" r:id="rId3"/>
    <sheet name="NLM" sheetId="3" r:id="rId4"/>
    <sheet name="SJRWMD_DEP Modified" sheetId="9" r:id="rId5"/>
    <sheet name="TMDL Method" sheetId="6" r:id="rId6"/>
    <sheet name="ReferenceLists" sheetId="12" r:id="rId7"/>
    <sheet name="OSTDS Flows by Facility Type" sheetId="14" r:id="rId8"/>
  </sheets>
  <externalReferences>
    <externalReference r:id="rId9"/>
    <externalReference r:id="rId10"/>
  </externalReferences>
  <definedNames>
    <definedName name="_xlnm._FilterDatabase" localSheetId="6" hidden="1">ReferenceLists!$A$1:$J$67</definedName>
    <definedName name="County" localSheetId="2">[1]!PersonsPerHousehold[County]</definedName>
    <definedName name="County">#REF!</definedName>
    <definedName name="EMCN">[2]EMCs!$A$3:$B$18</definedName>
    <definedName name="EMCP">[2]EMCs!$A$3:$C$18</definedName>
    <definedName name="FLUCCS">[2]FLUCCS!$A$1:$B$500</definedName>
    <definedName name="HEMC">[2]Conformance!$A$2:$B$118</definedName>
    <definedName name="HROC">[2]Conformance!$C:$D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1" l="1"/>
  <c r="B29" i="11"/>
  <c r="L22" i="13" l="1" a="1"/>
  <c r="L22" i="13" s="1"/>
  <c r="K22" i="13" a="1"/>
  <c r="K22" i="13" s="1"/>
  <c r="D27" i="13"/>
  <c r="I27" i="13" s="1"/>
  <c r="J27" i="13" s="1"/>
  <c r="K27" i="13" s="1"/>
  <c r="L27" i="13" s="1" a="1"/>
  <c r="L27" i="13" s="1"/>
  <c r="M27" i="13" s="1" a="1"/>
  <c r="M27" i="13" s="1"/>
  <c r="B27" i="13"/>
  <c r="H27" i="13"/>
  <c r="C18" i="14"/>
  <c r="C17" i="14"/>
  <c r="C16" i="14"/>
  <c r="C13" i="14"/>
  <c r="C11" i="14"/>
  <c r="C10" i="14"/>
  <c r="C4" i="14"/>
  <c r="F16" i="13" l="1"/>
  <c r="G16" i="13" s="1"/>
  <c r="H87" i="12"/>
  <c r="H12" i="9"/>
  <c r="D7" i="11" l="1"/>
  <c r="G19" i="9" l="1" a="1"/>
  <c r="G19" i="9" s="1"/>
  <c r="J19" i="9" a="1"/>
  <c r="J19" i="9" s="1"/>
  <c r="K19" i="9" s="1"/>
  <c r="M12" i="9" a="1"/>
  <c r="M12" i="9" s="1"/>
  <c r="N12" i="9" s="1"/>
  <c r="K12" i="9"/>
  <c r="O12" i="9" l="1"/>
  <c r="L19" i="9"/>
  <c r="C12" i="6" l="1"/>
  <c r="I12" i="6" s="1"/>
  <c r="D12" i="3" a="1"/>
  <c r="D12" i="3" s="1"/>
  <c r="E12" i="3"/>
  <c r="B7" i="11"/>
  <c r="B12" i="11" s="1"/>
  <c r="B13" i="11" s="1"/>
  <c r="H22" i="13"/>
  <c r="I22" i="13" s="1"/>
  <c r="H16" i="13" a="1"/>
  <c r="H16" i="13" s="1"/>
  <c r="I16" i="13" s="1" a="1"/>
  <c r="I16" i="13" s="1"/>
  <c r="G22" i="13"/>
  <c r="D38" i="11"/>
  <c r="B38" i="11"/>
  <c r="D29" i="11"/>
  <c r="F12" i="3" l="1" a="1"/>
  <c r="F12" i="3" s="1"/>
  <c r="J22" i="13"/>
  <c r="H12" i="6"/>
  <c r="B16" i="11"/>
  <c r="B14" i="11"/>
  <c r="B15" i="11"/>
  <c r="D16" i="11" l="1"/>
  <c r="C16" i="11"/>
  <c r="D14" i="11"/>
  <c r="C14" i="11"/>
  <c r="C15" i="11"/>
  <c r="D15" i="11"/>
  <c r="C36" i="11" l="1"/>
  <c r="E36" i="11"/>
  <c r="E26" i="11"/>
  <c r="C26" i="11"/>
  <c r="C27" i="11"/>
  <c r="E27" i="11"/>
  <c r="E35" i="11"/>
  <c r="C35" i="11"/>
  <c r="E28" i="11"/>
  <c r="C28" i="11"/>
  <c r="E37" i="11"/>
  <c r="C37" i="11"/>
  <c r="F28" i="11" l="1"/>
  <c r="E38" i="11"/>
  <c r="E29" i="11"/>
  <c r="F37" i="11"/>
  <c r="F26" i="11"/>
  <c r="F27" i="11"/>
  <c r="F36" i="11"/>
  <c r="C38" i="11"/>
  <c r="F35" i="11"/>
  <c r="F38" i="11" l="1"/>
  <c r="F2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<sst xmlns="http://schemas.openxmlformats.org/spreadsheetml/2006/main" count="456" uniqueCount="372">
  <si>
    <t>Brief Q&amp;A to Guide Method Selection</t>
  </si>
  <si>
    <t>Question</t>
  </si>
  <si>
    <t>Answer</t>
  </si>
  <si>
    <t>Is your project in a BMAP springshed?</t>
  </si>
  <si>
    <t>Springs OSTDS Loading Calcs (Spring BMAPs ONLY)</t>
  </si>
  <si>
    <t>Approved for BMAP Springs Credit Calculations</t>
  </si>
  <si>
    <t>Advantages</t>
  </si>
  <si>
    <t>Point of Contact: Moira Homann, DEP</t>
  </si>
  <si>
    <t>Consistent use across springs BMAPs.</t>
  </si>
  <si>
    <t>Uses census data for the persons per household, which is easy to find (online or in the dropdown options here).</t>
  </si>
  <si>
    <t>The recharge areas are available from DEP.</t>
  </si>
  <si>
    <t>ArcNLET Model</t>
  </si>
  <si>
    <t>Approved for BMAP Credit Calculations</t>
  </si>
  <si>
    <t>Challenges</t>
  </si>
  <si>
    <t>The estimates are site-specific.</t>
  </si>
  <si>
    <t>Requires GIS to run.</t>
  </si>
  <si>
    <t>The estimates consider soil type, water table, and distance to waterbodies.</t>
  </si>
  <si>
    <t>Calibration is essential when ArcNLET is used and you need pre-, post- data.</t>
  </si>
  <si>
    <r>
      <rPr>
        <b/>
        <sz val="11"/>
        <color theme="1"/>
        <rFont val="Calibri"/>
        <family val="2"/>
        <scheme val="minor"/>
      </rPr>
      <t xml:space="preserve">Availability: </t>
    </r>
    <r>
      <rPr>
        <sz val="11"/>
        <color theme="1"/>
        <rFont val="Calibri"/>
        <family val="2"/>
        <scheme val="minor"/>
      </rPr>
      <t xml:space="preserve">Free, Available to the public at https://people.sc.fsu.edu/~mye/ArcNLET/  </t>
    </r>
  </si>
  <si>
    <t>The model includes both groundwater loading and vadose zone loading.</t>
  </si>
  <si>
    <t>The model should be run at the street or neighborhood scale; running large areas at once may not work.</t>
  </si>
  <si>
    <r>
      <rPr>
        <b/>
        <sz val="11"/>
        <color theme="1"/>
        <rFont val="Calibri"/>
        <family val="2"/>
        <scheme val="minor"/>
      </rPr>
      <t>Description</t>
    </r>
    <r>
      <rPr>
        <sz val="11"/>
        <color theme="1"/>
        <rFont val="Calibri"/>
        <family val="2"/>
        <scheme val="minor"/>
      </rPr>
      <t>: ArcNLET is an ArcGIS-based nitrogen load estimation tool. It has the ability to estimate ammonium and nitrate in both the vadose zone and groundwater. Processes for failed systems are not considered.</t>
    </r>
  </si>
  <si>
    <t>The model allows the factors to be adjusted based on site-specific data, if available.</t>
  </si>
  <si>
    <t>Training and Model Manual: Follow this link to Dr. Ye's site to download the tool and manuals.  A training example is available in the User's Manual.  Download the Lakeshore sample data for the exercise.</t>
  </si>
  <si>
    <t>Because the model considers distance, the loading estimates tend to be lower than what most people expect when they see the loads estimated leaving the septic field, and therefore the estimated reductions seem conservative.</t>
  </si>
  <si>
    <t>Properly run, the model is calibrated by before and after data, so the model results are informed by measured data.</t>
  </si>
  <si>
    <t>Nitrogen Load Model (NLM) by Valiela et al. (1997, 2000)</t>
  </si>
  <si>
    <t>Potential Method; Check with Your DEP Basin Coordinator Before Using for BMAP Credit</t>
  </si>
  <si>
    <t>Developer: Valiela</t>
  </si>
  <si>
    <t>Simple</t>
  </si>
  <si>
    <t>Does not consider spatial variability of hydrogeological conditions and processes</t>
  </si>
  <si>
    <t>Point of Contact: Unknown</t>
  </si>
  <si>
    <t>No GIS required</t>
  </si>
  <si>
    <t>Applies the same loss factors in all conditions.</t>
  </si>
  <si>
    <t>SJRWMD OSTDS Phase Out Calculation Method (Modified by DEP)</t>
  </si>
  <si>
    <t>Developer: Andy Canion, PhD, SJRWMD</t>
  </si>
  <si>
    <t>The recharge areas are available from DEP</t>
  </si>
  <si>
    <r>
      <t xml:space="preserve">DEP TMDL Method for OSTDS Loads to </t>
    </r>
    <r>
      <rPr>
        <b/>
        <u/>
        <sz val="11"/>
        <color theme="1"/>
        <rFont val="Calibri"/>
        <family val="2"/>
        <scheme val="minor"/>
      </rPr>
      <t>Lakes</t>
    </r>
  </si>
  <si>
    <t>Points of Contact: Ansel Bubel (DEP), Heather Moule (DEP)</t>
  </si>
  <si>
    <t>This method is simple and the data are fairly easy to get. The hardest part is counting the number of systems within 200 m of the waterbody.</t>
  </si>
  <si>
    <t>GIS recommended to determine the number of systems within 200 m of the waterbody.</t>
  </si>
  <si>
    <t>This method is recommended for lakes, but not other waterbodies.</t>
  </si>
  <si>
    <t>Springs RESIDENTIAL OSTDS Loading Calcs (Spring BMAPs ONLY)</t>
  </si>
  <si>
    <t>Required for BMAP Springs Credit Calculations</t>
  </si>
  <si>
    <t>Only complete green cells</t>
  </si>
  <si>
    <t>Medium Recharge Rate</t>
  </si>
  <si>
    <t>County</t>
  </si>
  <si>
    <t>Calculation Table (auto-generated based on county selected)</t>
  </si>
  <si>
    <t>Recharge Category</t>
  </si>
  <si>
    <t xml:space="preserve">Enhanced OSTDS </t>
  </si>
  <si>
    <t xml:space="preserve">Nitrogen Input </t>
  </si>
  <si>
    <t xml:space="preserve">Attenuation </t>
  </si>
  <si>
    <t>Low Recharge</t>
  </si>
  <si>
    <t>Medium Recharge</t>
  </si>
  <si>
    <t>High Recharge</t>
  </si>
  <si>
    <t xml:space="preserve">PFA Maps are available in each springs BMAP, posted here: https://floridadep.gov/dear/water-quality-restoration/content/basin-management-action-plans-bmaps </t>
  </si>
  <si>
    <t xml:space="preserve">PFA GIS files can be downloaded here: https://geodata.dep.state.fl.us/datasets/8a6f9e78959d48849e65f96c628eb883_1?geometry=-93.623%2C27.975%2C-72.716%2C31.316 </t>
  </si>
  <si>
    <t>Recharge areas GIS files can be downloaded here:  http://publicfiles.dep.state.fl.us/DEAR/BMAP/Outstanding%20Florida%20Springs%20BMAPs/GIS/Select%20Springs%20Recharge%20Layer/</t>
  </si>
  <si>
    <t>Enhancement Table--OSTDS With Additional Nitrogen Treatment Installed</t>
  </si>
  <si>
    <t>Enhanced OSTDS Outside PFA</t>
  </si>
  <si>
    <t>Total Enhancement Reductions</t>
  </si>
  <si>
    <t xml:space="preserve">Number of Enhanced OSTDS </t>
  </si>
  <si>
    <t xml:space="preserve">High </t>
  </si>
  <si>
    <t xml:space="preserve">Medium </t>
  </si>
  <si>
    <t xml:space="preserve">Low </t>
  </si>
  <si>
    <t xml:space="preserve">Total </t>
  </si>
  <si>
    <t>Springs COMMERCIAL OSTDS Loading Calcs (Spring BMAPs ONLY)</t>
  </si>
  <si>
    <t>Use one method based on the data available--pick Persons Per Day Methodology, Square Foot Methodology, or Facility Type Methodology.</t>
  </si>
  <si>
    <t>Use the Square Foot Methodology when you don't know the number of people/visitors and whether they have a kitchen, etc. on site and you don't know the type of facility. With this method, you need to know the size the building.</t>
  </si>
  <si>
    <t>Many green cells have drop down boxes</t>
  </si>
  <si>
    <t>To add more rows, select the provided row, grab the plus '+' sign at the end of the row and drag down to generate as many blank rows as you want</t>
  </si>
  <si>
    <t>If the blank area below your preferred table does not have anough blank rows, insert more rows before dragging down the calculations</t>
  </si>
  <si>
    <t>Persons Per Day Methodology</t>
  </si>
  <si>
    <t>High Recharge Rate</t>
  </si>
  <si>
    <t>Sewering</t>
  </si>
  <si>
    <t>Annual Flow (MGD)</t>
  </si>
  <si>
    <t>Facility Type Methodology</t>
  </si>
  <si>
    <t>Type of Facility If Known (i.e. office space, restaurant, medical office, etc.)</t>
  </si>
  <si>
    <t>Determining Factor</t>
  </si>
  <si>
    <t>Number of Determining Factor</t>
  </si>
  <si>
    <t>Flow per Number of Determining Factor</t>
  </si>
  <si>
    <t>Facility Type (Enter Number of Determining Factor)</t>
  </si>
  <si>
    <t>SPRINGS</t>
  </si>
  <si>
    <t>Method</t>
  </si>
  <si>
    <t>Okeechobee</t>
  </si>
  <si>
    <t>Valiela et al.</t>
  </si>
  <si>
    <t>DEP Planning Method Modified from the SJRWMD Tool</t>
  </si>
  <si>
    <t>Septic to Sewer Projects</t>
  </si>
  <si>
    <t>Wastewater Treatment Plant Attenuation Factor (% of Septic N Remaining After Treatment at Plant)</t>
  </si>
  <si>
    <t>Recharge Factor for Wastewater Treatment Area</t>
  </si>
  <si>
    <t>Notes</t>
  </si>
  <si>
    <t>Y</t>
  </si>
  <si>
    <t>AWT</t>
  </si>
  <si>
    <t xml:space="preserve">Advanced System Multiplier </t>
  </si>
  <si>
    <t>N Removed by Soil Treatment Below Drainfield for Advanced Systems</t>
  </si>
  <si>
    <t>Conventional</t>
  </si>
  <si>
    <r>
      <t xml:space="preserve">Suitable for a planning estimate </t>
    </r>
    <r>
      <rPr>
        <u/>
        <sz val="11"/>
        <color theme="1"/>
        <rFont val="Calibri"/>
        <family val="2"/>
        <scheme val="minor"/>
      </rPr>
      <t>for a lake.</t>
    </r>
  </si>
  <si>
    <t>Persons per Household (Populates Automatically Based on County Selected)</t>
  </si>
  <si>
    <t>Average Individual Water Consumption (Gallons/Day)</t>
  </si>
  <si>
    <t># of Persons Per Household (2014-2018 Average)</t>
  </si>
  <si>
    <t>Surface Water Recharge Rate</t>
  </si>
  <si>
    <t>Low Recharge Rate</t>
  </si>
  <si>
    <t>Attenuation</t>
  </si>
  <si>
    <t>Enhancement</t>
  </si>
  <si>
    <t>Springs BMAP(s)</t>
  </si>
  <si>
    <t>Load per person</t>
  </si>
  <si>
    <t>Method Notes</t>
  </si>
  <si>
    <t>Alachua</t>
  </si>
  <si>
    <t>Silver/Santa Fe</t>
  </si>
  <si>
    <t>9.012</t>
  </si>
  <si>
    <t>Note: if you use 9.012 lbs/person/yr TN and then disregard the 40% loss from tank and field, the revised formula would be:	
N Load=	9.012 lbs/TN/p/yr * x * y * 0.429
N Load=	3.866 lbs/TN/p/yr * x * y</t>
  </si>
  <si>
    <t>Baker</t>
  </si>
  <si>
    <t>Santa Fe</t>
  </si>
  <si>
    <t>Bay</t>
  </si>
  <si>
    <t>Bradford</t>
  </si>
  <si>
    <t>Brevard</t>
  </si>
  <si>
    <t>Broward</t>
  </si>
  <si>
    <t>Calhoun</t>
  </si>
  <si>
    <t>Charlotte</t>
  </si>
  <si>
    <t>Citrus</t>
  </si>
  <si>
    <t>Kings Bay/Homosassa Chassahowitzka</t>
  </si>
  <si>
    <t>Clay</t>
  </si>
  <si>
    <t>Source Attenuation</t>
  </si>
  <si>
    <t>Collier</t>
  </si>
  <si>
    <t>Columbia</t>
  </si>
  <si>
    <t>Non-AWT</t>
  </si>
  <si>
    <t>DeSoto</t>
  </si>
  <si>
    <t>Wastewater Sprayfield</t>
  </si>
  <si>
    <t>.4</t>
  </si>
  <si>
    <t>Dixie</t>
  </si>
  <si>
    <t>Wastewater Reuse</t>
  </si>
  <si>
    <t>.25</t>
  </si>
  <si>
    <t>Duval</t>
  </si>
  <si>
    <t>Wastewater Rapid Infiltration Basin (RIB)</t>
  </si>
  <si>
    <t>.75</t>
  </si>
  <si>
    <t>Escambia</t>
  </si>
  <si>
    <t>Conventional Septic System</t>
  </si>
  <si>
    <t>.5</t>
  </si>
  <si>
    <t>Flagler</t>
  </si>
  <si>
    <t>Farm Fertilizer</t>
  </si>
  <si>
    <t>.2</t>
  </si>
  <si>
    <t>Franklin</t>
  </si>
  <si>
    <t>Lawn Fertilizer</t>
  </si>
  <si>
    <t>Gadsden</t>
  </si>
  <si>
    <t>Wakulla</t>
  </si>
  <si>
    <t>Livestock on pasture</t>
  </si>
  <si>
    <t>.1</t>
  </si>
  <si>
    <t>Gilchrist</t>
  </si>
  <si>
    <t>Glades</t>
  </si>
  <si>
    <t>Gulf</t>
  </si>
  <si>
    <t>Hamilton</t>
  </si>
  <si>
    <t>Hardee</t>
  </si>
  <si>
    <t>Hendry</t>
  </si>
  <si>
    <t>Hernando</t>
  </si>
  <si>
    <t>Homosassa Chassahowtizka/ Weeki Wachee</t>
  </si>
  <si>
    <t>Multipliers based on table from springs guidance as of May 2021</t>
  </si>
  <si>
    <t>Multiplier</t>
  </si>
  <si>
    <t>Highlands</t>
  </si>
  <si>
    <t>Hillsborough</t>
  </si>
  <si>
    <t>Aerobic Treatment</t>
  </si>
  <si>
    <t>Holmes</t>
  </si>
  <si>
    <t>Performance based</t>
  </si>
  <si>
    <t>Indian River</t>
  </si>
  <si>
    <t>Recirc Media</t>
  </si>
  <si>
    <t>Jackson</t>
  </si>
  <si>
    <t>Jackson Blue</t>
  </si>
  <si>
    <t>Lined Media</t>
  </si>
  <si>
    <t>Jefferson</t>
  </si>
  <si>
    <t>Wacissa/Wakulla</t>
  </si>
  <si>
    <t>Passive removal</t>
  </si>
  <si>
    <t>Lafayette</t>
  </si>
  <si>
    <t>Lake</t>
  </si>
  <si>
    <t>Silver</t>
  </si>
  <si>
    <t>Lee</t>
  </si>
  <si>
    <t>Leon</t>
  </si>
  <si>
    <t>Levy</t>
  </si>
  <si>
    <t>Rainbow/ Silver</t>
  </si>
  <si>
    <t>Liberty</t>
  </si>
  <si>
    <t>Madison</t>
  </si>
  <si>
    <t>Wacissa</t>
  </si>
  <si>
    <t>Manatee</t>
  </si>
  <si>
    <t>Marion</t>
  </si>
  <si>
    <t>Martin</t>
  </si>
  <si>
    <t>Monroe</t>
  </si>
  <si>
    <t>Nassau</t>
  </si>
  <si>
    <t>Okaloosa</t>
  </si>
  <si>
    <t>Orange</t>
  </si>
  <si>
    <t>Wekiva</t>
  </si>
  <si>
    <t>Osceola</t>
  </si>
  <si>
    <t>Palm Beach</t>
  </si>
  <si>
    <t>Pasco</t>
  </si>
  <si>
    <t>Weeki Wachee</t>
  </si>
  <si>
    <t>Pinellas</t>
  </si>
  <si>
    <t>Polk</t>
  </si>
  <si>
    <t>Add citation for where this ^ and other screen shots of data references came from (e.g. NSILT technical report 2018)</t>
  </si>
  <si>
    <t>Putnam</t>
  </si>
  <si>
    <t>Santa Rosa</t>
  </si>
  <si>
    <t>Sarasota</t>
  </si>
  <si>
    <t>Seminole</t>
  </si>
  <si>
    <t>St. Johns</t>
  </si>
  <si>
    <t>St. Lucie</t>
  </si>
  <si>
    <t>Sumter</t>
  </si>
  <si>
    <t>Suwannee</t>
  </si>
  <si>
    <t>Taylor</t>
  </si>
  <si>
    <t>Union</t>
  </si>
  <si>
    <t>Volusia</t>
  </si>
  <si>
    <t>Gemini/ DeLeon</t>
  </si>
  <si>
    <t>Walton</t>
  </si>
  <si>
    <t>Washington</t>
  </si>
  <si>
    <t>SPRINGS COMMERCIAL CALC REFERENCES</t>
  </si>
  <si>
    <t>Number of Visitors Known Methodology</t>
  </si>
  <si>
    <t>Table and attenuation % taken directly from research paper</t>
  </si>
  <si>
    <t>Gurpal, T., et al. Onsite Sewage Treatment and Disposal Systems: Nitrogen, UF IAFS (2014).</t>
  </si>
  <si>
    <t>Source of nitrogen</t>
  </si>
  <si>
    <t>Contribution</t>
  </si>
  <si>
    <t>Grams per person per day</t>
  </si>
  <si>
    <t>Percent of total</t>
  </si>
  <si>
    <t>Kitchen sink</t>
  </si>
  <si>
    <t>Toilet</t>
  </si>
  <si>
    <t>Baths, sinks, appliances</t>
  </si>
  <si>
    <t>Total</t>
  </si>
  <si>
    <t xml:space="preserve">*Select the grams per day values that apply. Note that not all values will apply for all commercial applications. Kitchen sink and toilet are the default. Camp grounds or other facilities may include baths, sinks, and appliances. </t>
  </si>
  <si>
    <t>Office building</t>
  </si>
  <si>
    <t xml:space="preserve"> </t>
  </si>
  <si>
    <t xml:space="preserve">per 100 square feet of floor space, whichever is greater </t>
  </si>
  <si>
    <t>*This is a low estimate and may be higher if the space is a different type of commercial use such as a restaurant.</t>
  </si>
  <si>
    <t>Lowe et al. 2009</t>
  </si>
  <si>
    <t>Average GPD per Determining Factor</t>
  </si>
  <si>
    <t>Airports, bus terminals, train stations, ports and docks (enter number of passengers per day)</t>
  </si>
  <si>
    <t>Passengers per day</t>
  </si>
  <si>
    <t>Did not add employees</t>
  </si>
  <si>
    <t>Barber or beauty shop (enter number of service chairs)</t>
  </si>
  <si>
    <t>Number of service chairs</t>
  </si>
  <si>
    <t>Doctor and Dentist offices (enter number of practitioners)</t>
  </si>
  <si>
    <t>Number of practitioners</t>
  </si>
  <si>
    <t>Approximated 3 employees per practitioner</t>
  </si>
  <si>
    <t>Factories - not including industrial waste (enter number of employees per 8 hour shift)</t>
  </si>
  <si>
    <t>Number of employees</t>
  </si>
  <si>
    <t>Took average between showers provided and no showers provided</t>
  </si>
  <si>
    <t>Food operations (enter number of seats)</t>
  </si>
  <si>
    <t>Number of seats</t>
  </si>
  <si>
    <t>Took average between open less than 16 hours and day and more than 16 hours per day</t>
  </si>
  <si>
    <t>Bar or cocktail lounge (enter number of seats)</t>
  </si>
  <si>
    <t>Hotels/Motels (enter number of rooms)</t>
  </si>
  <si>
    <t>Number of rooms</t>
  </si>
  <si>
    <t>Took average between regular hotels and resort/camp/cottage hotels. Did not add in self service laundry facility</t>
  </si>
  <si>
    <t>Office building (enter square footage)</t>
  </si>
  <si>
    <t>Square footage</t>
  </si>
  <si>
    <t>Transient Recreational Vehicle Park (enter number of vehicle spaces)</t>
  </si>
  <si>
    <t>Number of spaces for vehicles</t>
  </si>
  <si>
    <t>Average between having and not having water and sewer hookup</t>
  </si>
  <si>
    <t>Service stations (enter number of water closets)</t>
  </si>
  <si>
    <t>Number of water closets</t>
  </si>
  <si>
    <t>Average between open less than or more than 16 hours/day</t>
  </si>
  <si>
    <t>Stadiums, race tracks, ball parks, theaters, or auditoriums (enter number of seats)</t>
  </si>
  <si>
    <t>Veterinary Clinics (enter number of practitioners)</t>
  </si>
  <si>
    <t>Used per practitioner rate + 7 kennels (average per practitioner)* per kennel flow rate + 3 employees (average per practitioner) * per employee flow rate</t>
  </si>
  <si>
    <t>Warehouse (enter number of loading bays)</t>
  </si>
  <si>
    <t>Number of loading bays</t>
  </si>
  <si>
    <t>The DOH guidance says to add 15 GPD/employee per 8 hour shift, but I don't have a way to average number of employees per bay.</t>
  </si>
  <si>
    <t>Churches (enter number of seats)</t>
  </si>
  <si>
    <t>Hospitals (enter number of beds)</t>
  </si>
  <si>
    <t>Number of beds</t>
  </si>
  <si>
    <t>Added in 1.5 meals/bed</t>
  </si>
  <si>
    <t>Nursing homes or other adult congregate facilities (enter number of beds)</t>
  </si>
  <si>
    <t>Added in 3 meals/bed</t>
  </si>
  <si>
    <t>Schools (enter number of students)</t>
  </si>
  <si>
    <t>Number of students</t>
  </si>
  <si>
    <t>This includes flows for day-type schools, cafeteria, and school workers</t>
  </si>
  <si>
    <t>Use the springs residential property or springs commercial property method, as applicable</t>
  </si>
  <si>
    <t>Use the NLM or SJRWMD method, or you can use the ArcNLET Model</t>
  </si>
  <si>
    <t>Are you looking for a nitrogen reduction estimate for a surface water that is not a lake?</t>
  </si>
  <si>
    <t>Are you looking a nitrogen reduction estimate for a lake?</t>
  </si>
  <si>
    <r>
      <t xml:space="preserve">Suitable for phase out or enhancement estimate </t>
    </r>
    <r>
      <rPr>
        <u/>
        <sz val="11"/>
        <color theme="1"/>
        <rFont val="Calibri"/>
        <family val="2"/>
        <scheme val="minor"/>
      </rPr>
      <t>for a lake</t>
    </r>
    <r>
      <rPr>
        <sz val="11"/>
        <color theme="1"/>
        <rFont val="Calibri"/>
        <family val="2"/>
        <scheme val="minor"/>
      </rPr>
      <t>.</t>
    </r>
  </si>
  <si>
    <t>Note that you only count the number of OSTDS within 200 meters of a waterbody.</t>
  </si>
  <si>
    <t>Use the Facility Type Methodology when you know the use for the facility and have the determining factor numbers (see OSTDS Flows by Facility Type tab).</t>
  </si>
  <si>
    <t>Suitable for phase out or enhancement for surface waterbodies; do not use for spring BMAPs.</t>
  </si>
  <si>
    <t>Recharge Area/Not Applicable to Surface Waters</t>
  </si>
  <si>
    <t>Only complete green cells/Do not change the other cells</t>
  </si>
  <si>
    <t>Enhanced OSTDS/65% or More Nitrogen Treatment Systems</t>
  </si>
  <si>
    <t>DEP Value: Septic System TN input (mg/L)</t>
  </si>
  <si>
    <t>DEP Value: % Attenuated (as a Multiplier)</t>
  </si>
  <si>
    <t>Pick the Treatment System Type</t>
  </si>
  <si>
    <t>Difference in Load to Groundwater by Upgrading Conventional Systems (TN lbs/yr)</t>
  </si>
  <si>
    <t>Select the Wastewater Application Method</t>
  </si>
  <si>
    <t>Pick the County Where Project Is Located</t>
  </si>
  <si>
    <t>Enter the Project Name for Septic to Sewer Project</t>
  </si>
  <si>
    <t>Attenuation Factor of Wastewater Application Method (%)</t>
  </si>
  <si>
    <t>Load Reduction from Septic to Sewer Project 
(TN lbs/yr)</t>
  </si>
  <si>
    <t>Load Reduction from Septic to Sewer Project 
(TN lbs/yr) - Adjusted for % Commitment</t>
  </si>
  <si>
    <t>Existing Septic Systems Load to Groundwater 
(TN lbs/yr)</t>
  </si>
  <si>
    <t>Recharge Type/Only Surface Water Allowed</t>
  </si>
  <si>
    <t>Flow Loss Rate (%)</t>
  </si>
  <si>
    <t>Loss of TN During Seepage (Attenuation)(%)</t>
  </si>
  <si>
    <t>Assumption of same volume of wastewater pre and post hookup of OSTDS, thus pre/post concentration ratio is equal to pre/post load ratio.  For TN, ratio of AWT standard to mean STE is 3.0/61  = 0.049</t>
  </si>
  <si>
    <t>Assumption of same volume of wastewater pre and post hookup of OSTDS, thus pre/post concentration ratio is equal to pre/post load ratio.  For TN, ratio typical WWTF effluent to mean STE is 10/61  = 0.164</t>
  </si>
  <si>
    <t>Flow Rate (Gallons/Yr)</t>
  </si>
  <si>
    <t>Total Nitrogen Load Reduction (lbs/Yr)</t>
  </si>
  <si>
    <t>N Load Per Person (lbs/Yr)</t>
  </si>
  <si>
    <t>Enter the Total Number of Septic Systems in the Project Area (whole #)</t>
  </si>
  <si>
    <t>Abandonment/Hookups Included in Cost 
(Yes = Y, No = N)</t>
  </si>
  <si>
    <t>Enter the % Commitment by Property Owners to Hook Up</t>
  </si>
  <si>
    <t>Septic System TN Input (lbs/Yr)</t>
  </si>
  <si>
    <t>Attenuation (as a Multiplier) for Conventional Septic to Sewer (%)</t>
  </si>
  <si>
    <t>Existing Septic Systems Load to Groundwater (TN lbs/Yr)</t>
  </si>
  <si>
    <t>Suitable for estimating reductions for surface waterbodies, but not springs.</t>
  </si>
  <si>
    <t>Enter the Type of Facility If Known (i.e. park, entertainment venue, campground)</t>
  </si>
  <si>
    <t>Pick the County Where the Project Is Located</t>
  </si>
  <si>
    <t>Enter the Facility Name or Project Name</t>
  </si>
  <si>
    <r>
      <t>Enter the Building Square Feet 
(ft</t>
    </r>
    <r>
      <rPr>
        <b/>
        <vertAlign val="superscript"/>
        <sz val="11"/>
        <color theme="1"/>
        <rFont val="Calibri"/>
        <family val="2"/>
        <scheme val="minor"/>
      </rPr>
      <t>2</t>
    </r>
    <r>
      <rPr>
        <b/>
        <sz val="11"/>
        <color theme="1"/>
        <rFont val="Calibri"/>
        <family val="2"/>
        <scheme val="minor"/>
      </rPr>
      <t>)</t>
    </r>
  </si>
  <si>
    <t xml:space="preserve">Enter the Treatment Recharge Area </t>
  </si>
  <si>
    <t>Pick Sewering or Enhancement</t>
  </si>
  <si>
    <t>Flow (GPD) = (Building sq ft/100)*15</t>
  </si>
  <si>
    <t>TN Leaving the Septic Field 
(lbs/Yr)</t>
  </si>
  <si>
    <t>Enter the Average Number of People/Day at Facility</t>
  </si>
  <si>
    <t xml:space="preserve">Pick Recharge Type Where Septic Field is Located </t>
  </si>
  <si>
    <r>
      <rPr>
        <b/>
        <sz val="11"/>
        <color theme="1"/>
        <rFont val="Calibri"/>
        <family val="2"/>
        <scheme val="minor"/>
      </rPr>
      <t>Sponsor:</t>
    </r>
    <r>
      <rPr>
        <sz val="11"/>
        <color theme="1"/>
        <rFont val="Calibri"/>
        <family val="2"/>
        <scheme val="minor"/>
      </rPr>
      <t xml:space="preserve"> DEP (Rick Hicks, PG, Retired)</t>
    </r>
  </si>
  <si>
    <r>
      <rPr>
        <b/>
        <sz val="11"/>
        <color theme="1"/>
        <rFont val="Calibri"/>
        <family val="2"/>
        <scheme val="minor"/>
      </rPr>
      <t>Developer:</t>
    </r>
    <r>
      <rPr>
        <sz val="11"/>
        <color theme="1"/>
        <rFont val="Calibri"/>
        <family val="2"/>
        <scheme val="minor"/>
      </rPr>
      <t xml:space="preserve"> Ming Ye, PhD, FSU</t>
    </r>
  </si>
  <si>
    <t>Instructions for BMAP stakeholders for OSTDS Septic to Sewer Projects or Enhancement/65% Treatment or More Projects</t>
  </si>
  <si>
    <t>Persons Per Household (Populated When County Is Selected)</t>
  </si>
  <si>
    <t>TN Load Per Person (lbs/Yr)</t>
  </si>
  <si>
    <t>Conventional OSTDS TN Load to Groundwater 
(lbs/Yr/OSTDS)</t>
  </si>
  <si>
    <t>TN Reduction to Groundwater (lbs/Yr/OSTDS)</t>
  </si>
  <si>
    <t>Sewered OSTDS</t>
  </si>
  <si>
    <t>Treatment Rate in Septic Field (%)</t>
  </si>
  <si>
    <t>Select County Where Project is Located (Select from Drop Down)</t>
  </si>
  <si>
    <t>Enter the Number of Septic Systems Sewered or Enhanced</t>
  </si>
  <si>
    <t>Use the Persons Per Day Methodology when you know the number of people/visitors to the commercial property.</t>
  </si>
  <si>
    <t>If the blank area below your preferred table does not have enough blank rows, insert more rows before dragging down the calculations</t>
  </si>
  <si>
    <t>Enter the Number of Septic Systems Properly Abandonned</t>
  </si>
  <si>
    <t>Persons per Household (Populates When County is Selected)</t>
  </si>
  <si>
    <t>Nitrogen Load Reduction (lbs/yr)</t>
  </si>
  <si>
    <t>Pick the County Where the Project Is Located 
(Use Dropdown)</t>
  </si>
  <si>
    <t>Enter the Project Name for Nitrogen Enhanced/65% Wastewater Treatment System</t>
  </si>
  <si>
    <t>Enter the # of Septic Systems Within 200 m of Waterbody, Properly Abandoned (Whole #)</t>
  </si>
  <si>
    <t>Nitrogen Load Per Person (lbs/Yr)</t>
  </si>
  <si>
    <t>Attenuation Factor</t>
  </si>
  <si>
    <t>Septic to Sewer Table--OSTDS Properly Abandoned and Connected to Sewer</t>
  </si>
  <si>
    <t>Number of Enhanced OSTDS (Whole Number)</t>
  </si>
  <si>
    <t>Number of Sewered OSTDS  (Whole Number-Only Count Phased Out OSTDS)</t>
  </si>
  <si>
    <t>Load Reductions Through Sewering 
(TN lbs/Yr)
(Populates When # of OSTDS Is Entered)</t>
  </si>
  <si>
    <t>Total Load Reductions Through Sewering 
(TN lbs/Yr)
(Populates When # of OSTDS Is Entered)</t>
  </si>
  <si>
    <t>PFA = Priority Focus Area (highly sensitive area in each spring BMAP)</t>
  </si>
  <si>
    <t>Nitrogen Load Reductions Through Enhancement  (lbs/Yr)</t>
  </si>
  <si>
    <t>Nitrogen Load Reductions Through Enhancement (lbs/Yr)</t>
  </si>
  <si>
    <t>Total Nitrogen Load Reductions Through Enhancement (lbs/Yr)</t>
  </si>
  <si>
    <t>Sewered OSTDS Outside PFA</t>
  </si>
  <si>
    <t>Total Sewered Reductions</t>
  </si>
  <si>
    <t>Sewered OSTDS Inside PFA</t>
  </si>
  <si>
    <t>Enhanced OSTDS Inside PFA</t>
  </si>
  <si>
    <t>Recharge Area 
(See Link to Review Recharge Type at Project Site)</t>
  </si>
  <si>
    <t>Recharge Area 
(See Link Above to Review Recharge Type at Project Site)</t>
  </si>
  <si>
    <t>TN Grams/Day (based on UF Commercial OSTDS Study)
(Populates Based on # of People/Day At Facility)</t>
  </si>
  <si>
    <t>Estimated TN Load to Groundwater (Attenuated and Recharged)(Populates Based on Data Entries)
(lbs/Yr)</t>
  </si>
  <si>
    <t>TN Reduction Based on Enhancement or Sewering (Populates Based on Data Entries)
(lbs/Yr)</t>
  </si>
  <si>
    <t>Total Nitrogen Reduction Based on Enhancement or Sewering (Populates Based on Data Entries)
(lbs/Yr)</t>
  </si>
  <si>
    <t>Estimated Load to Groundwater (Recharge Applied)(Populates Based on Data Entries)
(lbs/Yr)</t>
  </si>
  <si>
    <t>Total Nitrogen Leaving the Septic Field
(lbs/Yr)</t>
  </si>
  <si>
    <t>Pick the Project's Recharge Area (See Link Above for Recharge Areas)</t>
  </si>
  <si>
    <t>Flow (GPD)(Populates Based on Data Entries)</t>
  </si>
  <si>
    <t>Annual Flow (MGD)(Populates Based on Data Entries)</t>
  </si>
  <si>
    <t>Nitrogen Input to Land (lbs/yr)(Populates Based on Data Entries)</t>
  </si>
  <si>
    <t>Nitrogen Reduction Based on Enhancement or Sewering (Populates Based on Data Entries)(lbs/Yr)</t>
  </si>
  <si>
    <t>Estimated Load to Groundwater (Recharge Applied)(Populates Based on Data Entries)(lbs/Yr)</t>
  </si>
  <si>
    <t>Square Foot Methodology - Useful for Unknown Facility Types/Unknown Persons Per Day - May Underestimate Some Facilities</t>
  </si>
  <si>
    <t>Annual Average TN Concentration (mg/L)</t>
  </si>
  <si>
    <t>Annual Average TN (mg/L)</t>
  </si>
  <si>
    <t>Projects in springs BMAPs should use the green-colored tabs, not other methods. Use springs calculations for the following BMAPs:  Crystal River/Kings Bay; DeLeon; Gemini; Homosassa/Chassahowitzka; Jackson Blue; Rainbow; Santa Fe; Silver; Suwannee; Volusia Blue; Wacissa; Wakulla; Weeki Wachee/Aripeka; and Wekiwa.</t>
  </si>
  <si>
    <t>Sheets with orange tabs indicate methods for surface waters. Seek guidance from your basin coordinator before using a specific potential method.</t>
  </si>
  <si>
    <t>As more information is known, the methods may change over time.</t>
  </si>
  <si>
    <t>Use the TMDL Method, NLM, or SJRWMD methods, or you can use the ArcNLET Model</t>
  </si>
  <si>
    <t>NOTE: THIS TOOL IS INAPPROPRIATE FOR SPRINGS CALCS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</si>
</sst>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3" formatCode="_(* #,##0.00_);_(* \(#,##0.00\);_(* &quot;-&quot;??_);_(@_)"/>
    <numFmt numFmtId="164" formatCode="0.0"/>
    <numFmt numFmtId="165" formatCode="0.0%"/>
    <numFmt numFmtId="166" formatCode="_(* #,##0_);_(* \(#,##0\);_(*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b/>
      <i/>
      <sz val="11"/>
      <color theme="9"/>
      <name val="Calibri"/>
      <family val="2"/>
      <scheme val="minor"/>
    </font>
    <font>
      <b/>
      <i/>
      <sz val="11"/>
      <color theme="5" tint="-0.499984740745262"/>
      <name val="Calibri"/>
      <family val="2"/>
      <scheme val="minor"/>
    </font>
    <font>
      <u/>
      <sz val="11"/>
      <color theme="10"/>
      <name val="Calibri"/>
      <family val="2"/>
      <scheme val="minor"/>
    </font>
    <font>
      <b/>
      <sz val="10"/>
      <color theme="1"/>
      <name val="Times New Roman"/>
      <family val="1"/>
    </font>
    <font>
      <b/>
      <sz val="10"/>
      <name val="Times New Roman"/>
      <family val="1"/>
    </font>
    <font>
      <sz val="10"/>
      <color theme="1"/>
      <name val="Times New Roman"/>
      <family val="1"/>
    </font>
    <font>
      <b/>
      <sz val="10"/>
      <color theme="8" tint="-0.249977111117893"/>
      <name val="Times New Roman"/>
      <family val="1"/>
    </font>
    <font>
      <i/>
      <sz val="11"/>
      <color rgb="FF000000"/>
      <name val="Calibri"/>
      <family val="2"/>
    </font>
    <font>
      <b/>
      <i/>
      <sz val="11"/>
      <color rgb="FF000000"/>
      <name val="Calibri"/>
      <family val="2"/>
    </font>
    <font>
      <sz val="11"/>
      <color theme="1"/>
      <name val="Calibri"/>
      <family val="2"/>
    </font>
    <font>
      <b/>
      <sz val="9"/>
      <color rgb="FF000000"/>
      <name val="Arial"/>
      <family val="2"/>
    </font>
    <font>
      <sz val="9"/>
      <color rgb="FF000000"/>
      <name val="Arial"/>
      <family val="2"/>
    </font>
    <font>
      <sz val="11"/>
      <color rgb="FFFF0000"/>
      <name val="Calibri"/>
      <family val="2"/>
    </font>
    <font>
      <sz val="10"/>
      <color rgb="FF000000"/>
      <name val="Times New Roman"/>
      <family val="1"/>
    </font>
    <font>
      <b/>
      <i/>
      <sz val="11"/>
      <name val="Calibri"/>
      <family val="2"/>
      <scheme val="minor"/>
    </font>
    <font>
      <u/>
      <sz val="11"/>
      <color theme="1"/>
      <name val="Calibri"/>
      <family val="2"/>
      <scheme val="minor"/>
    </font>
    <font>
      <b/>
      <sz val="14"/>
      <color theme="0"/>
      <name val="Calibri"/>
      <family val="2"/>
      <scheme val="minor"/>
    </font>
    <font>
      <i/>
      <sz val="10"/>
      <color theme="1"/>
      <name val="Times New Roman"/>
      <family val="1"/>
    </font>
    <font>
      <i/>
      <sz val="11"/>
      <color theme="1"/>
      <name val="Calibri"/>
      <family val="2"/>
      <scheme val="minor"/>
    </font>
    <font>
      <b/>
      <vertAlign val="superscript"/>
      <sz val="11"/>
      <color theme="1"/>
      <name val="Calibri"/>
      <family val="2"/>
      <scheme val="minor"/>
    </font>
    <font>
      <b/>
      <sz val="10"/>
      <color theme="4" tint="-0.249977111117893"/>
      <name val="Times New Roman"/>
      <family val="1"/>
    </font>
  </fonts>
  <fills count="20">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E4DFEC"/>
        <bgColor rgb="FF000000"/>
      </patternFill>
    </fill>
    <fill>
      <patternFill patternType="solid">
        <fgColor rgb="FFFFFFFF"/>
        <bgColor rgb="FF000000"/>
      </patternFill>
    </fill>
    <fill>
      <patternFill patternType="solid">
        <fgColor theme="5"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medium">
        <color rgb="FF999999"/>
      </right>
      <top style="medium">
        <color indexed="64"/>
      </top>
      <bottom style="medium">
        <color rgb="FF999999"/>
      </bottom>
      <diagonal/>
    </border>
    <border>
      <left style="medium">
        <color rgb="FF999999"/>
      </left>
      <right/>
      <top style="medium">
        <color indexed="64"/>
      </top>
      <bottom style="medium">
        <color rgb="FF999999"/>
      </bottom>
      <diagonal/>
    </border>
    <border>
      <left/>
      <right style="medium">
        <color indexed="64"/>
      </right>
      <top style="medium">
        <color indexed="64"/>
      </top>
      <bottom style="medium">
        <color rgb="FF999999"/>
      </bottom>
      <diagonal/>
    </border>
    <border>
      <left style="medium">
        <color indexed="64"/>
      </left>
      <right style="medium">
        <color rgb="FF999999"/>
      </right>
      <top style="medium">
        <color rgb="FF999999"/>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999999"/>
      </left>
      <right style="medium">
        <color indexed="64"/>
      </right>
      <top style="medium">
        <color rgb="FF999999"/>
      </top>
      <bottom style="medium">
        <color rgb="FF999999"/>
      </bottom>
      <diagonal/>
    </border>
    <border>
      <left style="medium">
        <color indexed="64"/>
      </left>
      <right style="medium">
        <color rgb="FF999999"/>
      </right>
      <top style="medium">
        <color rgb="FF999999"/>
      </top>
      <bottom style="medium">
        <color indexed="64"/>
      </bottom>
      <diagonal/>
    </border>
    <border>
      <left style="medium">
        <color rgb="FF999999"/>
      </left>
      <right style="medium">
        <color rgb="FF999999"/>
      </right>
      <top style="medium">
        <color rgb="FF999999"/>
      </top>
      <bottom style="medium">
        <color indexed="64"/>
      </bottom>
      <diagonal/>
    </border>
    <border>
      <left style="medium">
        <color rgb="FF999999"/>
      </left>
      <right style="medium">
        <color indexed="64"/>
      </right>
      <top style="medium">
        <color rgb="FF999999"/>
      </top>
      <bottom style="medium">
        <color indexed="64"/>
      </bottom>
      <diagonal/>
    </border>
    <border>
      <left/>
      <right/>
      <top style="medium">
        <color indexed="64"/>
      </top>
      <bottom style="medium">
        <color rgb="FF999999"/>
      </bottom>
      <diagonal/>
    </border>
    <border>
      <left/>
      <right style="medium">
        <color rgb="FF999999"/>
      </right>
      <top style="medium">
        <color rgb="FF999999"/>
      </top>
      <bottom style="medium">
        <color rgb="FF999999"/>
      </bottom>
      <diagonal/>
    </border>
    <border>
      <left/>
      <right style="medium">
        <color rgb="FF999999"/>
      </right>
      <top style="medium">
        <color rgb="FF999999"/>
      </top>
      <bottom style="medium">
        <color indexed="64"/>
      </bottom>
      <diagonal/>
    </border>
    <border>
      <left style="medium">
        <color rgb="FF999999"/>
      </left>
      <right/>
      <top style="medium">
        <color rgb="FF999999"/>
      </top>
      <bottom style="medium">
        <color rgb="FF999999"/>
      </bottom>
      <diagonal/>
    </border>
    <border>
      <left style="medium">
        <color rgb="FF999999"/>
      </left>
      <right/>
      <top style="medium">
        <color rgb="FF999999"/>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94">
    <xf numFmtId="0" fontId="0" fillId="0" borderId="0" xfId="0"/>
    <xf numFmtId="0" fontId="0" fillId="0" borderId="0" xfId="0" applyAlignment="1">
      <alignment horizontal="right"/>
    </xf>
    <xf numFmtId="0" fontId="0" fillId="0" borderId="0" xfId="0" applyAlignment="1">
      <alignment wrapText="1"/>
    </xf>
    <xf numFmtId="0" fontId="2" fillId="3" borderId="1" xfId="0" applyFont="1" applyFill="1" applyBorder="1" applyAlignment="1">
      <alignment wrapText="1"/>
    </xf>
    <xf numFmtId="0" fontId="2" fillId="2" borderId="1" xfId="0" applyFont="1" applyFill="1" applyBorder="1" applyAlignment="1">
      <alignment wrapText="1"/>
    </xf>
    <xf numFmtId="0" fontId="2" fillId="0" borderId="0" xfId="0" applyFont="1"/>
    <xf numFmtId="0" fontId="3" fillId="0" borderId="0" xfId="0" applyFont="1"/>
    <xf numFmtId="0" fontId="0" fillId="0" borderId="1" xfId="0" applyBorder="1"/>
    <xf numFmtId="0" fontId="0" fillId="0" borderId="1" xfId="0" applyBorder="1" applyAlignment="1">
      <alignment horizontal="center"/>
    </xf>
    <xf numFmtId="0" fontId="0" fillId="5" borderId="1" xfId="0" applyFill="1" applyBorder="1" applyAlignment="1">
      <alignment horizontal="left" vertical="center" wrapText="1"/>
    </xf>
    <xf numFmtId="0" fontId="0" fillId="0" borderId="0" xfId="0" applyAlignment="1">
      <alignment vertical="center"/>
    </xf>
    <xf numFmtId="0" fontId="0" fillId="4"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vertical="center" wrapText="1"/>
    </xf>
    <xf numFmtId="0" fontId="7" fillId="0" borderId="0" xfId="0" applyFont="1"/>
    <xf numFmtId="0" fontId="10" fillId="9" borderId="1" xfId="0" applyFont="1" applyFill="1" applyBorder="1" applyAlignment="1">
      <alignment horizontal="left" wrapText="1"/>
    </xf>
    <xf numFmtId="0" fontId="10" fillId="0" borderId="1" xfId="0" applyFont="1" applyBorder="1" applyAlignment="1">
      <alignment horizontal="center" wrapText="1"/>
    </xf>
    <xf numFmtId="0" fontId="12" fillId="0" borderId="1" xfId="0" applyFont="1" applyBorder="1" applyAlignment="1">
      <alignment horizontal="center"/>
    </xf>
    <xf numFmtId="4" fontId="12" fillId="0" borderId="0" xfId="0" applyNumberFormat="1" applyFont="1" applyAlignment="1">
      <alignment horizontal="center"/>
    </xf>
    <xf numFmtId="0" fontId="12" fillId="7" borderId="1" xfId="0" applyFont="1" applyFill="1" applyBorder="1"/>
    <xf numFmtId="0" fontId="12" fillId="0" borderId="1" xfId="0" applyFont="1" applyBorder="1" applyAlignment="1">
      <alignment horizontal="center" wrapText="1"/>
    </xf>
    <xf numFmtId="164" fontId="12" fillId="0" borderId="1" xfId="0" applyNumberFormat="1" applyFont="1" applyBorder="1" applyAlignment="1">
      <alignment horizontal="center"/>
    </xf>
    <xf numFmtId="164" fontId="12" fillId="7" borderId="1" xfId="0" applyNumberFormat="1" applyFont="1" applyFill="1" applyBorder="1" applyAlignment="1">
      <alignment horizontal="center"/>
    </xf>
    <xf numFmtId="164" fontId="10" fillId="0" borderId="1" xfId="0" applyNumberFormat="1" applyFont="1" applyBorder="1" applyAlignment="1">
      <alignment horizontal="center"/>
    </xf>
    <xf numFmtId="0" fontId="12" fillId="0" borderId="0" xfId="0" applyFont="1" applyAlignment="1">
      <alignment horizontal="center" wrapText="1"/>
    </xf>
    <xf numFmtId="164" fontId="12" fillId="0" borderId="0" xfId="0" applyNumberFormat="1" applyFont="1" applyAlignment="1">
      <alignment horizontal="center"/>
    </xf>
    <xf numFmtId="164" fontId="10" fillId="0" borderId="0" xfId="0" applyNumberFormat="1" applyFont="1" applyAlignment="1">
      <alignment horizontal="center"/>
    </xf>
    <xf numFmtId="0" fontId="12" fillId="9" borderId="1" xfId="0" applyFont="1" applyFill="1" applyBorder="1" applyAlignment="1">
      <alignment horizontal="center"/>
    </xf>
    <xf numFmtId="3" fontId="12" fillId="0" borderId="1" xfId="2" applyNumberFormat="1" applyFont="1" applyBorder="1" applyAlignment="1">
      <alignment horizontal="center"/>
    </xf>
    <xf numFmtId="3" fontId="10" fillId="0" borderId="1" xfId="2" applyNumberFormat="1" applyFont="1" applyBorder="1" applyAlignment="1">
      <alignment horizontal="center"/>
    </xf>
    <xf numFmtId="3" fontId="12" fillId="0" borderId="1" xfId="2" applyNumberFormat="1" applyFont="1" applyFill="1" applyBorder="1" applyAlignment="1">
      <alignment horizontal="center"/>
    </xf>
    <xf numFmtId="0" fontId="10" fillId="4" borderId="1" xfId="0" applyFont="1" applyFill="1" applyBorder="1" applyAlignment="1">
      <alignment horizontal="center"/>
    </xf>
    <xf numFmtId="3" fontId="10" fillId="4" borderId="1" xfId="0" applyNumberFormat="1" applyFont="1" applyFill="1" applyBorder="1" applyAlignment="1">
      <alignment horizontal="center"/>
    </xf>
    <xf numFmtId="0" fontId="11" fillId="4" borderId="1" xfId="0" applyFont="1" applyFill="1" applyBorder="1" applyAlignment="1">
      <alignment horizontal="center"/>
    </xf>
    <xf numFmtId="0" fontId="11" fillId="4" borderId="1" xfId="0" applyFont="1" applyFill="1" applyBorder="1" applyAlignment="1">
      <alignment horizontal="center" wrapText="1"/>
    </xf>
    <xf numFmtId="0" fontId="2" fillId="10" borderId="1" xfId="0" applyFont="1" applyFill="1" applyBorder="1" applyAlignment="1">
      <alignment horizontal="center" wrapText="1"/>
    </xf>
    <xf numFmtId="0" fontId="0" fillId="8" borderId="1" xfId="0" applyFill="1" applyBorder="1"/>
    <xf numFmtId="3" fontId="2" fillId="6" borderId="1" xfId="0" applyNumberFormat="1" applyFont="1" applyFill="1" applyBorder="1" applyAlignment="1">
      <alignment horizontal="center" wrapText="1"/>
    </xf>
    <xf numFmtId="3" fontId="0" fillId="0" borderId="1" xfId="0" applyNumberFormat="1" applyBorder="1" applyAlignment="1">
      <alignment horizontal="center"/>
    </xf>
    <xf numFmtId="3" fontId="0" fillId="8" borderId="1" xfId="0" applyNumberFormat="1" applyFill="1" applyBorder="1" applyAlignment="1">
      <alignment horizontal="center"/>
    </xf>
    <xf numFmtId="0" fontId="15" fillId="11" borderId="11" xfId="0" applyFont="1" applyFill="1" applyBorder="1"/>
    <xf numFmtId="0" fontId="16" fillId="11" borderId="11" xfId="0" applyFont="1" applyFill="1" applyBorder="1"/>
    <xf numFmtId="0" fontId="16" fillId="11" borderId="7" xfId="0" applyFont="1" applyFill="1" applyBorder="1"/>
    <xf numFmtId="0" fontId="17" fillId="12" borderId="12" xfId="0" applyFont="1" applyFill="1" applyBorder="1" applyAlignment="1">
      <alignment vertical="center"/>
    </xf>
    <xf numFmtId="0" fontId="16" fillId="11" borderId="0" xfId="0" applyFont="1" applyFill="1"/>
    <xf numFmtId="0" fontId="16" fillId="11" borderId="10" xfId="0" applyFont="1" applyFill="1" applyBorder="1"/>
    <xf numFmtId="0" fontId="18" fillId="12" borderId="15" xfId="0" applyFont="1" applyFill="1" applyBorder="1" applyAlignment="1">
      <alignment vertical="center" wrapText="1"/>
    </xf>
    <xf numFmtId="0" fontId="17" fillId="12" borderId="16" xfId="0" applyFont="1" applyFill="1" applyBorder="1" applyAlignment="1">
      <alignment horizontal="center" vertical="center" wrapText="1"/>
    </xf>
    <xf numFmtId="0" fontId="17" fillId="12" borderId="17" xfId="0" applyFont="1" applyFill="1" applyBorder="1" applyAlignment="1">
      <alignment horizontal="center" vertical="center" wrapText="1"/>
    </xf>
    <xf numFmtId="0" fontId="19" fillId="11" borderId="10" xfId="0" applyFont="1" applyFill="1" applyBorder="1"/>
    <xf numFmtId="0" fontId="18" fillId="12" borderId="16"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18" fillId="12" borderId="18" xfId="0" applyFont="1" applyFill="1" applyBorder="1" applyAlignment="1">
      <alignment vertical="center" wrapText="1"/>
    </xf>
    <xf numFmtId="0" fontId="18" fillId="12" borderId="19" xfId="0" applyFont="1" applyFill="1" applyBorder="1" applyAlignment="1">
      <alignment horizontal="center" vertical="center" wrapText="1"/>
    </xf>
    <xf numFmtId="0" fontId="18" fillId="12" borderId="20" xfId="0" applyFont="1" applyFill="1" applyBorder="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right" vertical="center" wrapText="1"/>
    </xf>
    <xf numFmtId="0" fontId="8" fillId="13" borderId="0" xfId="0" applyFont="1" applyFill="1"/>
    <xf numFmtId="0" fontId="21" fillId="5" borderId="0" xfId="0" applyFont="1" applyFill="1"/>
    <xf numFmtId="0" fontId="2" fillId="5" borderId="0" xfId="0" applyFont="1" applyFill="1"/>
    <xf numFmtId="0" fontId="0" fillId="5" borderId="0" xfId="0" applyFill="1"/>
    <xf numFmtId="0" fontId="8" fillId="0" borderId="0" xfId="0" applyFont="1"/>
    <xf numFmtId="0" fontId="2" fillId="6" borderId="1" xfId="0" applyFont="1" applyFill="1" applyBorder="1" applyAlignment="1">
      <alignment horizontal="center" wrapText="1"/>
    </xf>
    <xf numFmtId="0" fontId="0" fillId="0" borderId="0" xfId="0" applyAlignment="1">
      <alignment horizontal="center"/>
    </xf>
    <xf numFmtId="0" fontId="17" fillId="12" borderId="21" xfId="0" applyFont="1" applyFill="1" applyBorder="1" applyAlignment="1">
      <alignment vertical="center"/>
    </xf>
    <xf numFmtId="0" fontId="18" fillId="12" borderId="22" xfId="0" applyFont="1" applyFill="1" applyBorder="1" applyAlignment="1">
      <alignment vertical="center" wrapText="1"/>
    </xf>
    <xf numFmtId="0" fontId="18" fillId="12" borderId="23" xfId="0" applyFont="1" applyFill="1" applyBorder="1" applyAlignment="1">
      <alignment vertical="center" wrapText="1"/>
    </xf>
    <xf numFmtId="0" fontId="17" fillId="12" borderId="24"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18" fillId="12" borderId="25" xfId="0" applyFont="1" applyFill="1" applyBorder="1" applyAlignment="1">
      <alignment horizontal="center" vertical="center" wrapText="1"/>
    </xf>
    <xf numFmtId="0" fontId="2" fillId="0" borderId="0" xfId="0" applyFont="1" applyAlignment="1">
      <alignment horizontal="center" wrapText="1"/>
    </xf>
    <xf numFmtId="0" fontId="0" fillId="0" borderId="0" xfId="0" quotePrefix="1"/>
    <xf numFmtId="0" fontId="0" fillId="0" borderId="11" xfId="0" applyBorder="1"/>
    <xf numFmtId="0" fontId="0" fillId="0" borderId="4" xfId="0" applyBorder="1"/>
    <xf numFmtId="0" fontId="0" fillId="8" borderId="4" xfId="0" applyFill="1" applyBorder="1"/>
    <xf numFmtId="0" fontId="0" fillId="0" borderId="11" xfId="0" applyBorder="1" applyAlignment="1">
      <alignment horizontal="center"/>
    </xf>
    <xf numFmtId="0" fontId="0" fillId="0" borderId="9" xfId="0" applyBorder="1"/>
    <xf numFmtId="165" fontId="0" fillId="0" borderId="0" xfId="0" applyNumberFormat="1"/>
    <xf numFmtId="0" fontId="0" fillId="0" borderId="1" xfId="0" applyBorder="1" applyAlignment="1">
      <alignment wrapText="1"/>
    </xf>
    <xf numFmtId="0" fontId="2" fillId="15" borderId="1" xfId="0" applyFont="1" applyFill="1" applyBorder="1" applyAlignment="1">
      <alignment horizontal="center" wrapText="1"/>
    </xf>
    <xf numFmtId="0" fontId="2" fillId="15" borderId="1" xfId="0" applyFont="1" applyFill="1" applyBorder="1"/>
    <xf numFmtId="49" fontId="0" fillId="0" borderId="1" xfId="0" applyNumberFormat="1" applyBorder="1" applyAlignment="1">
      <alignment horizontal="center" wrapText="1"/>
    </xf>
    <xf numFmtId="2" fontId="0" fillId="0" borderId="1" xfId="0" applyNumberFormat="1" applyBorder="1" applyAlignment="1">
      <alignment horizontal="right"/>
    </xf>
    <xf numFmtId="0" fontId="0" fillId="9" borderId="4" xfId="0" applyFill="1" applyBorder="1"/>
    <xf numFmtId="0" fontId="0" fillId="9" borderId="4" xfId="0" applyFill="1" applyBorder="1" applyAlignment="1">
      <alignment horizontal="center"/>
    </xf>
    <xf numFmtId="0" fontId="0" fillId="9" borderId="1" xfId="0" applyFill="1" applyBorder="1"/>
    <xf numFmtId="0" fontId="0" fillId="9" borderId="1" xfId="0" applyFill="1" applyBorder="1" applyAlignment="1">
      <alignment wrapText="1"/>
    </xf>
    <xf numFmtId="0" fontId="0" fillId="9" borderId="1" xfId="0" applyFill="1" applyBorder="1" applyAlignment="1">
      <alignment horizontal="center"/>
    </xf>
    <xf numFmtId="0" fontId="2" fillId="9" borderId="0" xfId="0" applyFont="1" applyFill="1"/>
    <xf numFmtId="0" fontId="2" fillId="0" borderId="9" xfId="0" applyFont="1" applyBorder="1"/>
    <xf numFmtId="9" fontId="0" fillId="9" borderId="1" xfId="1" applyFont="1" applyFill="1" applyBorder="1" applyAlignment="1">
      <alignment horizontal="center" vertical="center"/>
    </xf>
    <xf numFmtId="9" fontId="0" fillId="0" borderId="11" xfId="1" applyFont="1" applyFill="1" applyBorder="1" applyAlignment="1">
      <alignment horizontal="center" vertical="center"/>
    </xf>
    <xf numFmtId="9" fontId="0" fillId="0" borderId="0" xfId="1" applyFont="1" applyFill="1" applyBorder="1" applyAlignment="1">
      <alignment horizontal="center" vertical="center"/>
    </xf>
    <xf numFmtId="0" fontId="2" fillId="16" borderId="0" xfId="0" applyFont="1" applyFill="1"/>
    <xf numFmtId="0" fontId="2" fillId="17" borderId="1" xfId="0" applyFont="1" applyFill="1" applyBorder="1" applyAlignment="1">
      <alignment horizontal="center" wrapText="1"/>
    </xf>
    <xf numFmtId="0" fontId="5" fillId="9" borderId="1" xfId="0" applyFont="1" applyFill="1" applyBorder="1"/>
    <xf numFmtId="0" fontId="0" fillId="16" borderId="0" xfId="0" applyFill="1"/>
    <xf numFmtId="0" fontId="5" fillId="9" borderId="1" xfId="0" applyFont="1" applyFill="1" applyBorder="1" applyAlignment="1">
      <alignment vertical="top" wrapText="1"/>
    </xf>
    <xf numFmtId="0" fontId="0" fillId="9" borderId="1" xfId="0" applyFill="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5" fillId="0" borderId="11" xfId="0" applyFont="1" applyBorder="1" applyAlignment="1">
      <alignment vertical="top" wrapText="1"/>
    </xf>
    <xf numFmtId="0" fontId="0" fillId="0" borderId="11" xfId="0" applyBorder="1" applyAlignment="1">
      <alignment horizontal="center" vertical="center"/>
    </xf>
    <xf numFmtId="1" fontId="0" fillId="0" borderId="11" xfId="0" applyNumberFormat="1" applyBorder="1" applyAlignment="1">
      <alignment horizontal="center" vertical="center"/>
    </xf>
    <xf numFmtId="164" fontId="0" fillId="0" borderId="11" xfId="0" applyNumberFormat="1" applyBorder="1" applyAlignment="1">
      <alignment horizontal="center" vertical="center"/>
    </xf>
    <xf numFmtId="37" fontId="0" fillId="0" borderId="11" xfId="0" applyNumberFormat="1" applyBorder="1" applyAlignment="1">
      <alignment horizontal="center" vertical="center"/>
    </xf>
    <xf numFmtId="37" fontId="0" fillId="0" borderId="11" xfId="0" applyNumberFormat="1" applyBorder="1" applyAlignment="1">
      <alignment horizontal="left" vertical="top" wrapText="1"/>
    </xf>
    <xf numFmtId="0" fontId="5" fillId="0" borderId="0" xfId="0" applyFont="1" applyAlignment="1">
      <alignment vertical="top" wrapText="1"/>
    </xf>
    <xf numFmtId="0" fontId="0" fillId="0" borderId="0" xfId="0" applyAlignment="1">
      <alignment horizontal="center"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37" fontId="0" fillId="0" borderId="0" xfId="0" applyNumberFormat="1" applyAlignment="1">
      <alignment horizontal="center" vertical="center"/>
    </xf>
    <xf numFmtId="37" fontId="0" fillId="0" borderId="0" xfId="0" applyNumberFormat="1" applyAlignment="1">
      <alignment horizontal="left" vertical="top" wrapText="1"/>
    </xf>
    <xf numFmtId="0" fontId="0" fillId="0" borderId="0" xfId="0" applyAlignment="1">
      <alignment horizontal="center" vertical="top"/>
    </xf>
    <xf numFmtId="1" fontId="0" fillId="0" borderId="0" xfId="0" applyNumberFormat="1" applyAlignment="1">
      <alignment horizontal="center" vertical="top"/>
    </xf>
    <xf numFmtId="7" fontId="0" fillId="0" borderId="0" xfId="0" applyNumberFormat="1"/>
    <xf numFmtId="0" fontId="0" fillId="0" borderId="1" xfId="0" applyBorder="1" applyAlignment="1">
      <alignment horizontal="center" vertical="top"/>
    </xf>
    <xf numFmtId="43" fontId="0" fillId="0" borderId="0" xfId="0" applyNumberFormat="1"/>
    <xf numFmtId="0" fontId="2" fillId="17" borderId="1" xfId="0" applyFont="1" applyFill="1" applyBorder="1"/>
    <xf numFmtId="0" fontId="2" fillId="0" borderId="1" xfId="0" applyFont="1" applyBorder="1" applyAlignment="1">
      <alignment wrapText="1"/>
    </xf>
    <xf numFmtId="0" fontId="0" fillId="0" borderId="0" xfId="0" applyAlignment="1">
      <alignment vertical="center" wrapText="1"/>
    </xf>
    <xf numFmtId="0" fontId="10" fillId="0" borderId="3" xfId="0" applyFont="1" applyBorder="1" applyAlignment="1">
      <alignment horizontal="left" wrapText="1"/>
    </xf>
    <xf numFmtId="0" fontId="24" fillId="0" borderId="0" xfId="0" applyFont="1" applyAlignment="1">
      <alignment horizontal="left" wrapText="1"/>
    </xf>
    <xf numFmtId="0" fontId="2" fillId="8" borderId="1" xfId="0" applyFont="1" applyFill="1" applyBorder="1" applyAlignment="1">
      <alignment horizontal="center" wrapText="1"/>
    </xf>
    <xf numFmtId="0" fontId="25" fillId="0" borderId="0" xfId="0" applyFont="1"/>
    <xf numFmtId="166" fontId="0" fillId="8" borderId="1" xfId="2" applyNumberFormat="1" applyFont="1" applyFill="1" applyBorder="1"/>
    <xf numFmtId="0" fontId="8" fillId="18" borderId="0" xfId="0" applyFont="1" applyFill="1"/>
    <xf numFmtId="0" fontId="0" fillId="18" borderId="0" xfId="0" applyFill="1"/>
    <xf numFmtId="166" fontId="0" fillId="8" borderId="1" xfId="2" applyNumberFormat="1" applyFont="1" applyFill="1" applyBorder="1" applyAlignment="1">
      <alignment vertical="center"/>
    </xf>
    <xf numFmtId="37" fontId="0" fillId="0" borderId="1" xfId="0" applyNumberFormat="1" applyBorder="1" applyAlignment="1">
      <alignment horizontal="left" vertical="top"/>
    </xf>
    <xf numFmtId="0" fontId="0" fillId="18" borderId="0" xfId="0" applyFill="1" applyAlignment="1">
      <alignment horizontal="center"/>
    </xf>
    <xf numFmtId="0" fontId="2" fillId="0" borderId="0" xfId="0" applyFont="1" applyAlignment="1">
      <alignment horizontal="center"/>
    </xf>
    <xf numFmtId="0" fontId="0" fillId="16" borderId="0" xfId="0" applyFill="1" applyAlignment="1">
      <alignment horizontal="center"/>
    </xf>
    <xf numFmtId="0" fontId="5" fillId="0" borderId="11" xfId="0" applyFont="1" applyBorder="1" applyAlignment="1">
      <alignment horizontal="center" vertical="top" wrapText="1"/>
    </xf>
    <xf numFmtId="0" fontId="5" fillId="0" borderId="0" xfId="0" applyFont="1" applyAlignment="1">
      <alignment horizontal="center" vertical="top" wrapText="1"/>
    </xf>
    <xf numFmtId="37" fontId="0" fillId="8" borderId="1" xfId="0" applyNumberFormat="1" applyFill="1" applyBorder="1" applyAlignment="1">
      <alignment horizontal="right" vertical="center"/>
    </xf>
    <xf numFmtId="0" fontId="0" fillId="0" borderId="1" xfId="0" applyBorder="1" applyAlignment="1">
      <alignment horizontal="center" wrapText="1"/>
    </xf>
    <xf numFmtId="0" fontId="0" fillId="9" borderId="1" xfId="0" applyFill="1" applyBorder="1" applyAlignment="1">
      <alignment horizontal="center" wrapText="1"/>
    </xf>
    <xf numFmtId="0" fontId="25" fillId="0" borderId="0" xfId="0" applyFont="1" applyAlignment="1">
      <alignment horizontal="left"/>
    </xf>
    <xf numFmtId="0" fontId="5" fillId="9" borderId="1" xfId="0" quotePrefix="1" applyFont="1" applyFill="1" applyBorder="1" applyAlignment="1">
      <alignment horizontal="center" vertical="top" wrapText="1"/>
    </xf>
    <xf numFmtId="0" fontId="0" fillId="0" borderId="0" xfId="0" applyAlignment="1">
      <alignment horizontal="left" wrapText="1"/>
    </xf>
    <xf numFmtId="0" fontId="10" fillId="6" borderId="1" xfId="0" applyFont="1" applyFill="1" applyBorder="1" applyAlignment="1">
      <alignment horizontal="center" wrapText="1"/>
    </xf>
    <xf numFmtId="0" fontId="25" fillId="0" borderId="0" xfId="0" applyFont="1" applyAlignment="1">
      <alignment horizontal="left" wrapText="1"/>
    </xf>
    <xf numFmtId="0" fontId="0" fillId="0" borderId="0" xfId="0" applyAlignment="1">
      <alignment horizontal="left"/>
    </xf>
    <xf numFmtId="0" fontId="13" fillId="6" borderId="1" xfId="0" applyFont="1" applyFill="1" applyBorder="1" applyAlignment="1">
      <alignment horizontal="center" wrapText="1"/>
    </xf>
    <xf numFmtId="0" fontId="0" fillId="0" borderId="0" xfId="0" applyAlignment="1">
      <alignment horizontal="left" wrapText="1"/>
    </xf>
    <xf numFmtId="0" fontId="10" fillId="0" borderId="3" xfId="0" applyFont="1" applyBorder="1" applyAlignment="1">
      <alignment horizontal="left" wrapText="1"/>
    </xf>
    <xf numFmtId="0" fontId="13" fillId="6" borderId="2" xfId="0" applyFont="1" applyFill="1" applyBorder="1" applyAlignment="1">
      <alignment horizontal="center" wrapText="1"/>
    </xf>
    <xf numFmtId="0" fontId="13" fillId="6" borderId="5" xfId="0" applyFont="1" applyFill="1" applyBorder="1" applyAlignment="1">
      <alignment horizontal="center" wrapText="1"/>
    </xf>
    <xf numFmtId="0" fontId="10" fillId="6" borderId="1" xfId="0" applyFont="1" applyFill="1" applyBorder="1" applyAlignment="1">
      <alignment horizontal="center" wrapText="1"/>
    </xf>
    <xf numFmtId="0" fontId="11" fillId="6" borderId="1" xfId="0" applyFont="1" applyFill="1" applyBorder="1" applyAlignment="1">
      <alignment horizontal="center" wrapText="1"/>
    </xf>
    <xf numFmtId="0" fontId="10" fillId="0" borderId="0" xfId="0" applyFont="1" applyAlignment="1">
      <alignment horizontal="left" wrapText="1"/>
    </xf>
    <xf numFmtId="0" fontId="13" fillId="6" borderId="1" xfId="0" applyFont="1" applyFill="1" applyBorder="1" applyAlignment="1">
      <alignment horizontal="center" wrapText="1"/>
    </xf>
    <xf numFmtId="0" fontId="9" fillId="0" borderId="0" xfId="3" applyBorder="1" applyAlignment="1">
      <alignment horizontal="left" wrapText="1"/>
    </xf>
    <xf numFmtId="0" fontId="9" fillId="0" borderId="3" xfId="3" applyFill="1" applyBorder="1" applyAlignment="1"/>
    <xf numFmtId="0" fontId="25" fillId="0" borderId="0" xfId="0" applyFont="1" applyAlignment="1">
      <alignment horizontal="left" wrapText="1"/>
    </xf>
    <xf numFmtId="0" fontId="14" fillId="11" borderId="8"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7" fillId="12" borderId="13" xfId="0" applyFont="1" applyFill="1" applyBorder="1" applyAlignment="1">
      <alignment horizontal="center" vertical="center" wrapText="1"/>
    </xf>
    <xf numFmtId="0" fontId="17" fillId="12" borderId="21" xfId="0" applyFont="1" applyFill="1" applyBorder="1" applyAlignment="1">
      <alignment horizontal="center" vertical="center" wrapText="1"/>
    </xf>
    <xf numFmtId="0" fontId="17" fillId="12" borderId="14" xfId="0" applyFont="1" applyFill="1" applyBorder="1" applyAlignment="1">
      <alignment horizontal="center" vertical="center" wrapText="1"/>
    </xf>
    <xf numFmtId="0" fontId="23" fillId="14" borderId="0" xfId="0" applyFont="1" applyFill="1" applyAlignment="1">
      <alignment horizontal="left" vertical="center"/>
    </xf>
    <xf numFmtId="0" fontId="0" fillId="0" borderId="0" xfId="0" applyFont="1"/>
    <xf numFmtId="0" fontId="0" fillId="0" borderId="1" xfId="0" applyFill="1" applyBorder="1" applyAlignment="1">
      <alignment horizontal="center" vertical="center"/>
    </xf>
    <xf numFmtId="0" fontId="2" fillId="17" borderId="1" xfId="0" applyFont="1" applyFill="1" applyBorder="1" applyAlignment="1">
      <alignment wrapText="1"/>
    </xf>
    <xf numFmtId="9" fontId="0" fillId="0" borderId="1" xfId="1" applyFont="1" applyBorder="1" applyAlignment="1">
      <alignment horizontal="center" vertical="top"/>
    </xf>
    <xf numFmtId="9" fontId="0" fillId="0" borderId="1" xfId="1" applyFont="1" applyBorder="1" applyAlignment="1">
      <alignment horizontal="center" vertical="center"/>
    </xf>
    <xf numFmtId="9" fontId="2" fillId="10" borderId="1" xfId="1" applyFont="1" applyFill="1" applyBorder="1" applyAlignment="1">
      <alignment horizontal="center" wrapText="1"/>
    </xf>
    <xf numFmtId="9" fontId="0" fillId="0" borderId="1" xfId="1" applyFont="1" applyBorder="1"/>
    <xf numFmtId="0" fontId="0" fillId="5" borderId="6" xfId="0" applyFill="1" applyBorder="1" applyAlignment="1">
      <alignment vertical="center" wrapText="1"/>
    </xf>
    <xf numFmtId="0" fontId="2" fillId="5" borderId="1" xfId="0" applyFont="1" applyFill="1" applyBorder="1"/>
    <xf numFmtId="0" fontId="0" fillId="5" borderId="1" xfId="0" applyFill="1" applyBorder="1"/>
    <xf numFmtId="0" fontId="21" fillId="5" borderId="1" xfId="0" applyFont="1" applyFill="1" applyBorder="1"/>
    <xf numFmtId="0" fontId="4" fillId="0" borderId="1" xfId="0" applyFont="1" applyBorder="1"/>
    <xf numFmtId="0" fontId="2" fillId="3" borderId="5" xfId="0" applyFont="1" applyFill="1" applyBorder="1" applyAlignment="1">
      <alignment wrapText="1"/>
    </xf>
    <xf numFmtId="0" fontId="0" fillId="4" borderId="5" xfId="0" applyFill="1" applyBorder="1" applyAlignment="1">
      <alignment vertical="center" wrapText="1"/>
    </xf>
    <xf numFmtId="0" fontId="2" fillId="5" borderId="1" xfId="0" applyFont="1" applyFill="1" applyBorder="1" applyAlignment="1">
      <alignment horizontal="left"/>
    </xf>
    <xf numFmtId="0" fontId="21" fillId="5" borderId="1" xfId="0" applyFont="1" applyFill="1" applyBorder="1" applyAlignment="1">
      <alignment wrapText="1"/>
    </xf>
    <xf numFmtId="0" fontId="9" fillId="0" borderId="1" xfId="3" applyFill="1" applyBorder="1" applyAlignment="1">
      <alignment horizontal="left" wrapText="1"/>
    </xf>
    <xf numFmtId="0" fontId="3" fillId="0" borderId="1" xfId="0" applyFont="1" applyBorder="1" applyAlignment="1">
      <alignment wrapText="1"/>
    </xf>
    <xf numFmtId="0" fontId="2" fillId="0" borderId="1" xfId="0" applyFont="1" applyBorder="1"/>
    <xf numFmtId="0" fontId="8" fillId="13" borderId="1" xfId="0" applyFont="1" applyFill="1" applyBorder="1"/>
    <xf numFmtId="0" fontId="3" fillId="0" borderId="1" xfId="0" applyFont="1" applyBorder="1"/>
    <xf numFmtId="9" fontId="10" fillId="0" borderId="1" xfId="1" applyFont="1" applyBorder="1" applyAlignment="1">
      <alignment horizontal="center" wrapText="1"/>
    </xf>
    <xf numFmtId="0" fontId="0" fillId="19" borderId="1" xfId="0" applyFill="1" applyBorder="1"/>
    <xf numFmtId="0" fontId="21" fillId="18" borderId="0" xfId="0" applyFont="1" applyFill="1"/>
    <xf numFmtId="0" fontId="2" fillId="8" borderId="0" xfId="0" applyFont="1" applyFill="1"/>
    <xf numFmtId="0" fontId="0" fillId="8" borderId="0" xfId="0" applyFill="1"/>
    <xf numFmtId="0" fontId="9" fillId="0" borderId="0" xfId="3" applyFill="1" applyBorder="1" applyAlignment="1"/>
    <xf numFmtId="0" fontId="24" fillId="0" borderId="0" xfId="0" applyFont="1" applyBorder="1" applyAlignment="1">
      <alignment horizontal="left" wrapText="1"/>
    </xf>
    <xf numFmtId="0" fontId="27" fillId="6" borderId="1" xfId="0" applyFont="1" applyFill="1" applyBorder="1" applyAlignment="1">
      <alignment horizontal="center" wrapText="1"/>
    </xf>
    <xf numFmtId="0" fontId="10" fillId="0" borderId="0" xfId="0" applyFont="1" applyFill="1" applyBorder="1" applyAlignment="1">
      <alignment horizontal="left" wrapText="1"/>
    </xf>
    <xf numFmtId="0" fontId="2" fillId="0" borderId="0" xfId="0" applyFont="1" applyAlignment="1">
      <alignment vertical="center"/>
    </xf>
    <xf numFmtId="0" fontId="2" fillId="0" borderId="0" xfId="0" applyFont="1" applyAlignment="1">
      <alignment vertical="top"/>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7</xdr:col>
      <xdr:colOff>18149</xdr:colOff>
      <xdr:row>104</xdr:row>
      <xdr:rowOff>66242</xdr:rowOff>
    </xdr:to>
    <xdr:pic>
      <xdr:nvPicPr>
        <xdr:cNvPr id="2" name="Picture 1">
          <a:extLst>
            <a:ext uri="{FF2B5EF4-FFF2-40B4-BE49-F238E27FC236}">
              <a16:creationId xmlns:a16="http://schemas.microsoft.com/office/drawing/2014/main" id="{BD1CF4FD-EF45-4115-9AF8-F5343A6EDC77}"/>
            </a:ext>
          </a:extLst>
        </xdr:cNvPr>
        <xdr:cNvPicPr>
          <a:picLocks noChangeAspect="1"/>
        </xdr:cNvPicPr>
      </xdr:nvPicPr>
      <xdr:blipFill>
        <a:blip xmlns:r="http://schemas.openxmlformats.org/officeDocument/2006/relationships" r:embed="rId1"/>
        <a:stretch>
          <a:fillRect/>
        </a:stretch>
      </xdr:blipFill>
      <xdr:spPr>
        <a:xfrm>
          <a:off x="0" y="2200275"/>
          <a:ext cx="7209524" cy="3466667"/>
        </a:xfrm>
        <a:prstGeom prst="rect">
          <a:avLst/>
        </a:prstGeom>
      </xdr:spPr>
    </xdr:pic>
    <xdr:clientData/>
  </xdr:twoCellAnchor>
  <xdr:twoCellAnchor editAs="oneCell">
    <xdr:from>
      <xdr:col>13</xdr:col>
      <xdr:colOff>0</xdr:colOff>
      <xdr:row>91</xdr:row>
      <xdr:rowOff>0</xdr:rowOff>
    </xdr:from>
    <xdr:to>
      <xdr:col>17</xdr:col>
      <xdr:colOff>446873</xdr:colOff>
      <xdr:row>103</xdr:row>
      <xdr:rowOff>37809</xdr:rowOff>
    </xdr:to>
    <xdr:pic>
      <xdr:nvPicPr>
        <xdr:cNvPr id="3" name="Picture 2">
          <a:extLst>
            <a:ext uri="{FF2B5EF4-FFF2-40B4-BE49-F238E27FC236}">
              <a16:creationId xmlns:a16="http://schemas.microsoft.com/office/drawing/2014/main" id="{F5FF6F09-9268-4A12-ACDE-26D453BB3545}"/>
            </a:ext>
          </a:extLst>
        </xdr:cNvPr>
        <xdr:cNvPicPr>
          <a:picLocks noChangeAspect="1"/>
        </xdr:cNvPicPr>
      </xdr:nvPicPr>
      <xdr:blipFill>
        <a:blip xmlns:r="http://schemas.openxmlformats.org/officeDocument/2006/relationships" r:embed="rId2"/>
        <a:stretch>
          <a:fillRect/>
        </a:stretch>
      </xdr:blipFill>
      <xdr:spPr>
        <a:xfrm>
          <a:off x="8172450" y="3095625"/>
          <a:ext cx="6419048" cy="2323809"/>
        </a:xfrm>
        <a:prstGeom prst="rect">
          <a:avLst/>
        </a:prstGeom>
      </xdr:spPr>
    </xdr:pic>
    <xdr:clientData/>
  </xdr:twoCellAnchor>
  <xdr:twoCellAnchor editAs="oneCell">
    <xdr:from>
      <xdr:col>17</xdr:col>
      <xdr:colOff>119060</xdr:colOff>
      <xdr:row>13</xdr:row>
      <xdr:rowOff>119061</xdr:rowOff>
    </xdr:from>
    <xdr:to>
      <xdr:col>18</xdr:col>
      <xdr:colOff>1424547</xdr:colOff>
      <xdr:row>51</xdr:row>
      <xdr:rowOff>90485</xdr:rowOff>
    </xdr:to>
    <xdr:pic>
      <xdr:nvPicPr>
        <xdr:cNvPr id="4" name="Picture 3">
          <a:extLst>
            <a:ext uri="{FF2B5EF4-FFF2-40B4-BE49-F238E27FC236}">
              <a16:creationId xmlns:a16="http://schemas.microsoft.com/office/drawing/2014/main" id="{1A87C309-4B73-427B-BC01-08A5399B7E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92935" y="3071811"/>
          <a:ext cx="6139425" cy="7381874"/>
        </a:xfrm>
        <a:prstGeom prst="rect">
          <a:avLst/>
        </a:prstGeom>
        <a:noFill/>
        <a:ln w="254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428625</xdr:colOff>
      <xdr:row>14</xdr:row>
      <xdr:rowOff>95250</xdr:rowOff>
    </xdr:from>
    <xdr:to>
      <xdr:col>25</xdr:col>
      <xdr:colOff>625060</xdr:colOff>
      <xdr:row>30</xdr:row>
      <xdr:rowOff>53687</xdr:rowOff>
    </xdr:to>
    <xdr:pic>
      <xdr:nvPicPr>
        <xdr:cNvPr id="5" name="Picture 4">
          <a:extLst>
            <a:ext uri="{FF2B5EF4-FFF2-40B4-BE49-F238E27FC236}">
              <a16:creationId xmlns:a16="http://schemas.microsoft.com/office/drawing/2014/main" id="{5C0BE617-6167-4E8F-B832-E2D7DCFAC3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03188" y="3429000"/>
          <a:ext cx="9769061" cy="3177887"/>
        </a:xfrm>
        <a:prstGeom prst="rect">
          <a:avLst/>
        </a:prstGeom>
        <a:solidFill>
          <a:srgbClr val="FFFFFF">
            <a:shade val="85000"/>
          </a:srgbClr>
        </a:solidFill>
        <a:ln w="254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14</xdr:col>
      <xdr:colOff>0</xdr:colOff>
      <xdr:row>36</xdr:row>
      <xdr:rowOff>0</xdr:rowOff>
    </xdr:from>
    <xdr:to>
      <xdr:col>15</xdr:col>
      <xdr:colOff>2000250</xdr:colOff>
      <xdr:row>62</xdr:row>
      <xdr:rowOff>166687</xdr:rowOff>
    </xdr:to>
    <xdr:grpSp>
      <xdr:nvGrpSpPr>
        <xdr:cNvPr id="6" name="Group 5">
          <a:extLst>
            <a:ext uri="{FF2B5EF4-FFF2-40B4-BE49-F238E27FC236}">
              <a16:creationId xmlns:a16="http://schemas.microsoft.com/office/drawing/2014/main" id="{9B0249E8-7F67-4184-8123-BA6449AA792C}"/>
            </a:ext>
          </a:extLst>
        </xdr:cNvPr>
        <xdr:cNvGrpSpPr/>
      </xdr:nvGrpSpPr>
      <xdr:grpSpPr>
        <a:xfrm>
          <a:off x="14554200" y="7269480"/>
          <a:ext cx="4598670" cy="4921567"/>
          <a:chOff x="5388428" y="6398072"/>
          <a:chExt cx="6417779" cy="6838957"/>
        </a:xfrm>
      </xdr:grpSpPr>
      <xdr:pic>
        <xdr:nvPicPr>
          <xdr:cNvPr id="7" name="Picture 6">
            <a:extLst>
              <a:ext uri="{FF2B5EF4-FFF2-40B4-BE49-F238E27FC236}">
                <a16:creationId xmlns:a16="http://schemas.microsoft.com/office/drawing/2014/main" id="{437206B5-EA7D-4004-A4E7-6CA2FEA01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5642" y="6398072"/>
            <a:ext cx="6387193" cy="4428064"/>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D8B02AE6-A74A-45AD-91EF-E214AC87E7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88428" y="10842171"/>
            <a:ext cx="6417779" cy="23948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eDrive\WildwoodConsulting\OSTDS_Tool\Springs%20Credit%20Workbook%20Template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ldep1\dear\Documents%20and%20Settings\User\My%20Documents\St.%20Lucie\Allocations\Bob%20Calcs%2012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Wet Detention Calcs"/>
      <sheetName val="Reuse Calcs"/>
      <sheetName val="Retention, Trains, and Swales"/>
      <sheetName val="Street Sweeping and CO"/>
      <sheetName val="Education"/>
      <sheetName val="Exfil Trenches"/>
      <sheetName val="OSTDS Residential"/>
      <sheetName val="Residential References"/>
      <sheetName val="OSTDS Commecial Calcs"/>
      <sheetName val="OSTDS Commercial Refs"/>
      <sheetName val="WWTF"/>
      <sheetName val="Springs Credit Workbook Templ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ormance"/>
      <sheetName val="EMCs"/>
      <sheetName val="ROCs"/>
      <sheetName val="Summary"/>
      <sheetName val="FLUCCS"/>
      <sheetName val="Calcs Juris"/>
      <sheetName val="Juris N Red"/>
      <sheetName val="Juris P Red"/>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people.sc.fsu.edu/~mye/ArcNLE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eodata.dep.state.fl.us/datasets/8a6f9e78959d48849e65f96c628eb883_1?geometry=-93.623%2C27.975%2C-72.716%2C31.316" TargetMode="External"/><Relationship Id="rId2" Type="http://schemas.openxmlformats.org/officeDocument/2006/relationships/hyperlink" Target="https://floridadep.gov/dear/water-quality-restoration/content/basin-management-action-plans-bmaps" TargetMode="External"/><Relationship Id="rId1" Type="http://schemas.openxmlformats.org/officeDocument/2006/relationships/hyperlink" Target="http://publicfiles.dep.state.fl.us/DEAR/BMAP/Outstanding%20Florida%20Springs%20BMAPs/GIS/Select%20Springs%20Recharge%20Layer/"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hyperlink" Target="http://publicfiles.dep.state.fl.us/DEAR/BMAP/Outstanding%20Florida%20Springs%20BMAPs/GIS/Select%20Springs%20Recharge%20Layer/" TargetMode="External"/></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EB7A-1774-4301-81AB-0D052F8998B3}">
  <sheetPr codeName="Sheet2">
    <tabColor rgb="FFFF0000"/>
  </sheetPr>
  <dimension ref="A1:I51"/>
  <sheetViews>
    <sheetView showGridLines="0" tabSelected="1" zoomScaleNormal="100" workbookViewId="0">
      <selection activeCell="C18" sqref="C18"/>
    </sheetView>
  </sheetViews>
  <sheetFormatPr defaultRowHeight="14.4" x14ac:dyDescent="0.3"/>
  <cols>
    <col min="1" max="1" width="2.6640625" customWidth="1"/>
    <col min="2" max="2" width="117.33203125" customWidth="1"/>
    <col min="3" max="3" width="80.109375" customWidth="1"/>
    <col min="4" max="4" width="55" customWidth="1"/>
    <col min="5" max="10" width="12.33203125" customWidth="1"/>
  </cols>
  <sheetData>
    <row r="1" spans="1:9" x14ac:dyDescent="0.3">
      <c r="B1" s="5" t="s">
        <v>318</v>
      </c>
    </row>
    <row r="3" spans="1:9" ht="43.2" x14ac:dyDescent="0.3">
      <c r="A3" s="193">
        <v>1</v>
      </c>
      <c r="B3" s="120" t="s">
        <v>367</v>
      </c>
      <c r="C3" s="143"/>
      <c r="D3" s="143"/>
      <c r="E3" s="143"/>
      <c r="F3" s="143"/>
      <c r="G3" s="143"/>
      <c r="H3" s="143"/>
      <c r="I3" s="143"/>
    </row>
    <row r="4" spans="1:9" ht="28.8" x14ac:dyDescent="0.3">
      <c r="A4" s="193">
        <v>2</v>
      </c>
      <c r="B4" s="2" t="s">
        <v>368</v>
      </c>
      <c r="C4" s="2"/>
      <c r="D4" s="2"/>
      <c r="E4" s="2"/>
      <c r="F4" s="2"/>
      <c r="G4" s="2"/>
      <c r="H4" s="2"/>
      <c r="I4" s="2"/>
    </row>
    <row r="5" spans="1:9" x14ac:dyDescent="0.3">
      <c r="A5" s="193">
        <v>3</v>
      </c>
      <c r="B5" s="145" t="s">
        <v>369</v>
      </c>
      <c r="C5" s="145"/>
      <c r="D5" s="145"/>
      <c r="E5" s="145"/>
      <c r="F5" s="145"/>
      <c r="G5" s="145"/>
      <c r="H5" s="145"/>
      <c r="I5" s="145"/>
    </row>
    <row r="6" spans="1:9" x14ac:dyDescent="0.3">
      <c r="A6" s="10"/>
      <c r="B6" s="140"/>
      <c r="C6" s="140"/>
      <c r="D6" s="140"/>
      <c r="E6" s="140"/>
      <c r="F6" s="140"/>
      <c r="G6" s="140"/>
      <c r="H6" s="140"/>
      <c r="I6" s="140"/>
    </row>
    <row r="7" spans="1:9" x14ac:dyDescent="0.3">
      <c r="A7" s="10"/>
      <c r="B7" s="140"/>
      <c r="C7" s="140"/>
      <c r="D7" s="140"/>
      <c r="E7" s="140"/>
      <c r="F7" s="140"/>
      <c r="G7" s="140"/>
      <c r="H7" s="140"/>
      <c r="I7" s="140"/>
    </row>
    <row r="8" spans="1:9" x14ac:dyDescent="0.3">
      <c r="A8" s="10"/>
      <c r="B8" s="5" t="s">
        <v>0</v>
      </c>
      <c r="D8" s="140"/>
      <c r="E8" s="140"/>
      <c r="F8" s="140"/>
      <c r="G8" s="140"/>
      <c r="H8" s="140"/>
      <c r="I8" s="140"/>
    </row>
    <row r="9" spans="1:9" x14ac:dyDescent="0.3">
      <c r="A9" s="10"/>
      <c r="B9" s="118" t="s">
        <v>1</v>
      </c>
      <c r="C9" s="118" t="s">
        <v>2</v>
      </c>
      <c r="D9" s="140"/>
      <c r="E9" s="140"/>
      <c r="F9" s="140"/>
      <c r="G9" s="140"/>
      <c r="H9" s="140"/>
      <c r="I9" s="140"/>
    </row>
    <row r="10" spans="1:9" x14ac:dyDescent="0.3">
      <c r="A10" s="192">
        <v>1</v>
      </c>
      <c r="B10" s="7" t="s">
        <v>3</v>
      </c>
      <c r="C10" s="7" t="s">
        <v>269</v>
      </c>
      <c r="D10" s="140"/>
      <c r="E10" s="140"/>
      <c r="F10" s="140"/>
      <c r="G10" s="140"/>
      <c r="H10" s="140"/>
      <c r="I10" s="140"/>
    </row>
    <row r="11" spans="1:9" x14ac:dyDescent="0.3">
      <c r="A11" s="192">
        <v>2</v>
      </c>
      <c r="B11" s="7" t="s">
        <v>271</v>
      </c>
      <c r="C11" s="7" t="s">
        <v>270</v>
      </c>
      <c r="D11" s="140"/>
      <c r="E11" s="140"/>
      <c r="F11" s="140"/>
      <c r="G11" s="140"/>
      <c r="H11" s="140"/>
      <c r="I11" s="140"/>
    </row>
    <row r="12" spans="1:9" x14ac:dyDescent="0.3">
      <c r="A12" s="192">
        <v>3</v>
      </c>
      <c r="B12" s="7" t="s">
        <v>272</v>
      </c>
      <c r="C12" s="7" t="s">
        <v>370</v>
      </c>
    </row>
    <row r="15" spans="1:9" x14ac:dyDescent="0.3">
      <c r="B15" s="170" t="s">
        <v>4</v>
      </c>
      <c r="C15" s="171"/>
    </row>
    <row r="16" spans="1:9" x14ac:dyDescent="0.3">
      <c r="B16" s="172" t="s">
        <v>5</v>
      </c>
      <c r="C16" s="4" t="s">
        <v>6</v>
      </c>
    </row>
    <row r="17" spans="2:4" x14ac:dyDescent="0.3">
      <c r="B17" s="173" t="s">
        <v>7</v>
      </c>
      <c r="C17" s="9" t="s">
        <v>8</v>
      </c>
    </row>
    <row r="18" spans="2:4" ht="28.8" x14ac:dyDescent="0.3">
      <c r="B18" s="14"/>
      <c r="C18" s="169" t="s">
        <v>9</v>
      </c>
    </row>
    <row r="19" spans="2:4" x14ac:dyDescent="0.3">
      <c r="B19" s="14"/>
      <c r="C19" s="12" t="s">
        <v>10</v>
      </c>
    </row>
    <row r="21" spans="2:4" x14ac:dyDescent="0.3">
      <c r="B21" s="176" t="s">
        <v>11</v>
      </c>
      <c r="C21" s="176"/>
      <c r="D21" s="176"/>
    </row>
    <row r="22" spans="2:4" x14ac:dyDescent="0.3">
      <c r="B22" s="177" t="s">
        <v>12</v>
      </c>
      <c r="C22" s="4" t="s">
        <v>6</v>
      </c>
      <c r="D22" s="174" t="s">
        <v>13</v>
      </c>
    </row>
    <row r="23" spans="2:4" x14ac:dyDescent="0.3">
      <c r="B23" s="78" t="s">
        <v>317</v>
      </c>
      <c r="C23" s="13" t="s">
        <v>14</v>
      </c>
      <c r="D23" s="175" t="s">
        <v>15</v>
      </c>
    </row>
    <row r="24" spans="2:4" ht="28.8" x14ac:dyDescent="0.3">
      <c r="B24" s="78" t="s">
        <v>316</v>
      </c>
      <c r="C24" s="13" t="s">
        <v>16</v>
      </c>
      <c r="D24" s="175" t="s">
        <v>17</v>
      </c>
    </row>
    <row r="25" spans="2:4" ht="28.8" x14ac:dyDescent="0.3">
      <c r="B25" s="78" t="s">
        <v>18</v>
      </c>
      <c r="C25" s="13" t="s">
        <v>19</v>
      </c>
      <c r="D25" s="175" t="s">
        <v>20</v>
      </c>
    </row>
    <row r="26" spans="2:4" ht="28.8" x14ac:dyDescent="0.3">
      <c r="B26" s="78" t="s">
        <v>21</v>
      </c>
      <c r="C26" s="13" t="s">
        <v>22</v>
      </c>
    </row>
    <row r="27" spans="2:4" ht="57.6" x14ac:dyDescent="0.3">
      <c r="B27" s="178" t="s">
        <v>23</v>
      </c>
      <c r="C27" s="13" t="s">
        <v>24</v>
      </c>
    </row>
    <row r="28" spans="2:4" ht="28.8" x14ac:dyDescent="0.3">
      <c r="B28" s="179"/>
      <c r="C28" s="13" t="s">
        <v>25</v>
      </c>
    </row>
    <row r="29" spans="2:4" x14ac:dyDescent="0.3">
      <c r="C29" s="2"/>
    </row>
    <row r="31" spans="2:4" x14ac:dyDescent="0.3">
      <c r="B31" s="170" t="s">
        <v>26</v>
      </c>
      <c r="C31" s="171"/>
      <c r="D31" s="171"/>
    </row>
    <row r="32" spans="2:4" x14ac:dyDescent="0.3">
      <c r="B32" s="181" t="s">
        <v>27</v>
      </c>
      <c r="C32" s="4" t="s">
        <v>6</v>
      </c>
      <c r="D32" s="3" t="s">
        <v>13</v>
      </c>
    </row>
    <row r="33" spans="2:4" ht="28.8" x14ac:dyDescent="0.3">
      <c r="B33" s="180" t="s">
        <v>28</v>
      </c>
      <c r="C33" s="12" t="s">
        <v>29</v>
      </c>
      <c r="D33" s="11" t="s">
        <v>30</v>
      </c>
    </row>
    <row r="34" spans="2:4" x14ac:dyDescent="0.3">
      <c r="B34" s="180" t="s">
        <v>31</v>
      </c>
      <c r="C34" s="12" t="s">
        <v>32</v>
      </c>
      <c r="D34" s="11" t="s">
        <v>33</v>
      </c>
    </row>
    <row r="35" spans="2:4" x14ac:dyDescent="0.3">
      <c r="B35" s="6"/>
    </row>
    <row r="38" spans="2:4" x14ac:dyDescent="0.3">
      <c r="B38" s="170" t="s">
        <v>34</v>
      </c>
      <c r="C38" s="171"/>
    </row>
    <row r="39" spans="2:4" x14ac:dyDescent="0.3">
      <c r="B39" s="181" t="s">
        <v>27</v>
      </c>
      <c r="C39" s="4" t="s">
        <v>6</v>
      </c>
    </row>
    <row r="40" spans="2:4" x14ac:dyDescent="0.3">
      <c r="B40" s="180" t="s">
        <v>35</v>
      </c>
      <c r="C40" s="12" t="s">
        <v>29</v>
      </c>
    </row>
    <row r="41" spans="2:4" x14ac:dyDescent="0.3">
      <c r="B41" s="182"/>
      <c r="C41" s="12" t="s">
        <v>32</v>
      </c>
    </row>
    <row r="42" spans="2:4" x14ac:dyDescent="0.3">
      <c r="B42" s="182"/>
      <c r="C42" s="12" t="s">
        <v>36</v>
      </c>
    </row>
    <row r="45" spans="2:4" x14ac:dyDescent="0.3">
      <c r="B45" s="170" t="s">
        <v>37</v>
      </c>
      <c r="C45" s="171"/>
    </row>
    <row r="46" spans="2:4" x14ac:dyDescent="0.3">
      <c r="B46" s="181" t="s">
        <v>27</v>
      </c>
      <c r="C46" s="4" t="s">
        <v>6</v>
      </c>
    </row>
    <row r="47" spans="2:4" ht="43.2" x14ac:dyDescent="0.3">
      <c r="B47" s="180" t="s">
        <v>38</v>
      </c>
      <c r="C47" s="13" t="s">
        <v>39</v>
      </c>
    </row>
    <row r="48" spans="2:4" ht="28.8" x14ac:dyDescent="0.3">
      <c r="B48" s="182"/>
      <c r="C48" s="13" t="s">
        <v>40</v>
      </c>
    </row>
    <row r="49" spans="2:3" ht="28.8" x14ac:dyDescent="0.3">
      <c r="B49" s="182"/>
      <c r="C49" s="13" t="s">
        <v>41</v>
      </c>
    </row>
    <row r="50" spans="2:3" x14ac:dyDescent="0.3">
      <c r="B50" s="6"/>
    </row>
    <row r="51" spans="2:3" x14ac:dyDescent="0.3">
      <c r="B51" s="6"/>
    </row>
  </sheetData>
  <mergeCells count="1">
    <mergeCell ref="B5:I5"/>
  </mergeCells>
  <conditionalFormatting sqref="C35">
    <cfRule type="dataBar" priority="2">
      <dataBar>
        <cfvo type="min"/>
        <cfvo type="max"/>
        <color rgb="FF638EC6"/>
      </dataBar>
      <extLst>
        <ext xmlns:x14="http://schemas.microsoft.com/office/spreadsheetml/2009/9/main" uri="{B025F937-C7B1-47D3-B67F-A62EFF666E3E}">
          <x14:id>{13BE3349-4A27-4D5C-8A76-C79739403B92}</x14:id>
        </ext>
      </extLst>
    </cfRule>
  </conditionalFormatting>
  <hyperlinks>
    <hyperlink ref="B27" r:id="rId1" display="https://people.sc.fsu.edu/%7Emye/ArcNLET/" xr:uid="{A1285567-0297-4D2D-A584-7E689AFC4495}"/>
  </hyperlinks>
  <pageMargins left="0.7" right="0.7" top="0.75" bottom="0.75" header="0.3" footer="0.3"/>
  <pageSetup orientation="portrait" horizontalDpi="4294967295" verticalDpi="4294967295" r:id="rId2"/>
  <customProperties>
    <customPr name="LastActive" r:id="rId3"/>
  </customProperties>
  <extLst>
    <ext xmlns:x14="http://schemas.microsoft.com/office/spreadsheetml/2009/9/main" uri="{78C0D931-6437-407d-A8EE-F0AAD7539E65}">
      <x14:conditionalFormattings>
        <x14:conditionalFormatting xmlns:xm="http://schemas.microsoft.com/office/excel/2006/main">
          <x14:cfRule type="dataBar" id="{13BE3349-4A27-4D5C-8A76-C79739403B92}">
            <x14:dataBar minLength="0" maxLength="100" gradient="0">
              <x14:cfvo type="autoMin"/>
              <x14:cfvo type="autoMax"/>
              <x14:negativeFillColor rgb="FFFF0000"/>
              <x14:axisColor rgb="FF000000"/>
            </x14:dataBar>
          </x14:cfRule>
          <xm:sqref>C35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4686-FB55-4CEE-93D1-A99CBC3CF72B}">
  <sheetPr codeName="Sheet3">
    <tabColor rgb="FF00B050"/>
  </sheetPr>
  <dimension ref="A1:F38"/>
  <sheetViews>
    <sheetView showGridLines="0" topLeftCell="A25" workbookViewId="0">
      <selection activeCell="B30" sqref="B30"/>
    </sheetView>
  </sheetViews>
  <sheetFormatPr defaultColWidth="9.109375" defaultRowHeight="14.4" x14ac:dyDescent="0.3"/>
  <cols>
    <col min="1" max="1" width="30.44140625" customWidth="1"/>
    <col min="2" max="2" width="28" customWidth="1"/>
    <col min="3" max="3" width="22.6640625" customWidth="1"/>
    <col min="4" max="4" width="16.33203125" customWidth="1"/>
    <col min="5" max="5" width="22.33203125" customWidth="1"/>
    <col min="6" max="6" width="51.88671875" customWidth="1"/>
  </cols>
  <sheetData>
    <row r="1" spans="1:4" x14ac:dyDescent="0.3">
      <c r="A1" s="59" t="s">
        <v>42</v>
      </c>
      <c r="B1" s="59"/>
    </row>
    <row r="2" spans="1:4" x14ac:dyDescent="0.3">
      <c r="A2" s="58" t="s">
        <v>43</v>
      </c>
      <c r="B2" s="58"/>
    </row>
    <row r="4" spans="1:4" s="5" customFormat="1" x14ac:dyDescent="0.3">
      <c r="A4" s="88" t="s">
        <v>44</v>
      </c>
    </row>
    <row r="5" spans="1:4" s="5" customFormat="1" x14ac:dyDescent="0.3"/>
    <row r="6" spans="1:4" ht="40.200000000000003" x14ac:dyDescent="0.3">
      <c r="A6" s="141" t="s">
        <v>325</v>
      </c>
      <c r="B6" s="141" t="s">
        <v>319</v>
      </c>
      <c r="C6" s="141" t="s">
        <v>320</v>
      </c>
      <c r="D6" s="141" t="s">
        <v>324</v>
      </c>
    </row>
    <row r="7" spans="1:4" x14ac:dyDescent="0.3">
      <c r="A7" s="15" t="s">
        <v>107</v>
      </c>
      <c r="B7" s="16">
        <f>VLOOKUP(A7,ReferenceLists!$A$1:$J$67,2,FALSE)</f>
        <v>2.54</v>
      </c>
      <c r="C7" s="16">
        <v>9.0120000000000005</v>
      </c>
      <c r="D7" s="183">
        <f>VLOOKUP(A7,ReferenceLists!A1:J67,5,FALSE)</f>
        <v>0.5</v>
      </c>
    </row>
    <row r="8" spans="1:4" x14ac:dyDescent="0.3">
      <c r="A8" s="5"/>
    </row>
    <row r="9" spans="1:4" x14ac:dyDescent="0.3">
      <c r="A9" s="146" t="s">
        <v>47</v>
      </c>
      <c r="B9" s="146"/>
      <c r="C9" s="146"/>
    </row>
    <row r="10" spans="1:4" ht="15" customHeight="1" x14ac:dyDescent="0.3">
      <c r="A10" s="149" t="s">
        <v>48</v>
      </c>
      <c r="B10" s="149" t="s">
        <v>321</v>
      </c>
      <c r="C10" s="150" t="s">
        <v>322</v>
      </c>
      <c r="D10" s="150"/>
    </row>
    <row r="11" spans="1:4" ht="33" customHeight="1" x14ac:dyDescent="0.3">
      <c r="A11" s="149"/>
      <c r="B11" s="149"/>
      <c r="C11" s="141" t="s">
        <v>49</v>
      </c>
      <c r="D11" s="141" t="s">
        <v>323</v>
      </c>
    </row>
    <row r="12" spans="1:4" x14ac:dyDescent="0.3">
      <c r="A12" s="17" t="s">
        <v>50</v>
      </c>
      <c r="B12" s="18">
        <f>C7*B7</f>
        <v>22.89048</v>
      </c>
      <c r="C12" s="19"/>
      <c r="D12" s="19"/>
    </row>
    <row r="13" spans="1:4" x14ac:dyDescent="0.3">
      <c r="A13" s="20" t="s">
        <v>51</v>
      </c>
      <c r="B13" s="21">
        <f>B12*0.5</f>
        <v>11.44524</v>
      </c>
      <c r="C13" s="22"/>
      <c r="D13" s="22"/>
    </row>
    <row r="14" spans="1:4" x14ac:dyDescent="0.3">
      <c r="A14" s="20" t="s">
        <v>52</v>
      </c>
      <c r="B14" s="21">
        <f>B13*0.1</f>
        <v>1.1445240000000001</v>
      </c>
      <c r="C14" s="23">
        <f>B14*0.65</f>
        <v>0.74394060000000006</v>
      </c>
      <c r="D14" s="23">
        <f>B14*0.95</f>
        <v>1.0872978</v>
      </c>
    </row>
    <row r="15" spans="1:4" x14ac:dyDescent="0.3">
      <c r="A15" s="20" t="s">
        <v>53</v>
      </c>
      <c r="B15" s="21">
        <f>B13*D7</f>
        <v>5.72262</v>
      </c>
      <c r="C15" s="23">
        <f>B15*0.65</f>
        <v>3.719703</v>
      </c>
      <c r="D15" s="23">
        <f>B15*0.95</f>
        <v>5.4364889999999999</v>
      </c>
    </row>
    <row r="16" spans="1:4" x14ac:dyDescent="0.3">
      <c r="A16" s="20" t="s">
        <v>54</v>
      </c>
      <c r="B16" s="21">
        <f>B13*0.9</f>
        <v>10.300716</v>
      </c>
      <c r="C16" s="23">
        <f>B16*0.65</f>
        <v>6.6954653999999998</v>
      </c>
      <c r="D16" s="23">
        <f>B16*0.95</f>
        <v>9.7856801999999998</v>
      </c>
    </row>
    <row r="17" spans="1:6" ht="26.25" customHeight="1" x14ac:dyDescent="0.3">
      <c r="A17" s="24"/>
      <c r="B17" s="25"/>
      <c r="C17" s="26"/>
      <c r="D17" s="26"/>
    </row>
    <row r="18" spans="1:6" x14ac:dyDescent="0.3">
      <c r="A18" s="191" t="s">
        <v>342</v>
      </c>
      <c r="B18" s="191"/>
      <c r="C18" s="191"/>
      <c r="D18" s="191"/>
    </row>
    <row r="19" spans="1:6" x14ac:dyDescent="0.3">
      <c r="A19" s="153" t="s">
        <v>55</v>
      </c>
      <c r="B19" s="153"/>
      <c r="C19" s="153"/>
      <c r="D19" s="153"/>
      <c r="E19" s="153"/>
      <c r="F19" s="153"/>
    </row>
    <row r="20" spans="1:6" x14ac:dyDescent="0.3">
      <c r="A20" s="153" t="s">
        <v>56</v>
      </c>
      <c r="B20" s="153"/>
      <c r="C20" s="153"/>
      <c r="D20" s="153"/>
      <c r="E20" s="153"/>
      <c r="F20" s="153"/>
    </row>
    <row r="21" spans="1:6" x14ac:dyDescent="0.3">
      <c r="A21" s="188" t="s">
        <v>57</v>
      </c>
      <c r="B21" s="188"/>
      <c r="C21" s="188"/>
      <c r="D21" s="188"/>
      <c r="E21" s="188"/>
      <c r="F21" s="188"/>
    </row>
    <row r="22" spans="1:6" x14ac:dyDescent="0.3">
      <c r="A22" s="122"/>
      <c r="B22" s="122"/>
      <c r="C22" s="122"/>
      <c r="D22" s="122"/>
      <c r="E22" s="189"/>
      <c r="F22" s="189"/>
    </row>
    <row r="23" spans="1:6" x14ac:dyDescent="0.3">
      <c r="A23" s="151" t="s">
        <v>58</v>
      </c>
      <c r="B23" s="151"/>
      <c r="C23" s="151"/>
      <c r="D23" s="151"/>
      <c r="E23" s="121"/>
      <c r="F23" s="121"/>
    </row>
    <row r="24" spans="1:6" x14ac:dyDescent="0.3">
      <c r="A24" s="149" t="s">
        <v>351</v>
      </c>
      <c r="B24" s="152" t="s">
        <v>349</v>
      </c>
      <c r="C24" s="152"/>
      <c r="D24" s="152" t="s">
        <v>59</v>
      </c>
      <c r="E24" s="152"/>
      <c r="F24" s="144" t="s">
        <v>60</v>
      </c>
    </row>
    <row r="25" spans="1:6" ht="40.200000000000003" x14ac:dyDescent="0.3">
      <c r="A25" s="149"/>
      <c r="B25" s="141" t="s">
        <v>338</v>
      </c>
      <c r="C25" s="141" t="s">
        <v>343</v>
      </c>
      <c r="D25" s="141" t="s">
        <v>61</v>
      </c>
      <c r="E25" s="141" t="s">
        <v>344</v>
      </c>
      <c r="F25" s="141" t="s">
        <v>345</v>
      </c>
    </row>
    <row r="26" spans="1:6" x14ac:dyDescent="0.3">
      <c r="A26" s="17" t="s">
        <v>62</v>
      </c>
      <c r="B26" s="27">
        <v>0</v>
      </c>
      <c r="C26" s="28">
        <f>B26*C16</f>
        <v>0</v>
      </c>
      <c r="D26" s="27">
        <v>0</v>
      </c>
      <c r="E26" s="28">
        <f>D26*C16</f>
        <v>0</v>
      </c>
      <c r="F26" s="29">
        <f>SUM(C26+E26)</f>
        <v>0</v>
      </c>
    </row>
    <row r="27" spans="1:6" x14ac:dyDescent="0.3">
      <c r="A27" s="17" t="s">
        <v>63</v>
      </c>
      <c r="B27" s="27">
        <v>0</v>
      </c>
      <c r="C27" s="30">
        <f>B27*C15</f>
        <v>0</v>
      </c>
      <c r="D27" s="27">
        <v>0</v>
      </c>
      <c r="E27" s="28">
        <f>D27*C15</f>
        <v>0</v>
      </c>
      <c r="F27" s="29">
        <f>SUM(C27+E27)</f>
        <v>0</v>
      </c>
    </row>
    <row r="28" spans="1:6" x14ac:dyDescent="0.3">
      <c r="A28" s="17" t="s">
        <v>64</v>
      </c>
      <c r="B28" s="27">
        <v>0</v>
      </c>
      <c r="C28" s="30">
        <f>B28*C14</f>
        <v>0</v>
      </c>
      <c r="D28" s="27">
        <v>0</v>
      </c>
      <c r="E28" s="28">
        <f>D28*C14</f>
        <v>0</v>
      </c>
      <c r="F28" s="29">
        <f>SUM(C28+E28)</f>
        <v>0</v>
      </c>
    </row>
    <row r="29" spans="1:6" x14ac:dyDescent="0.3">
      <c r="A29" s="31" t="s">
        <v>65</v>
      </c>
      <c r="B29" s="32">
        <f>SUM(B26:B28)</f>
        <v>0</v>
      </c>
      <c r="C29" s="32">
        <f>SUM(C26:C28)</f>
        <v>0</v>
      </c>
      <c r="D29" s="32">
        <f t="shared" ref="B29:E29" si="0">SUM(D26:D28)</f>
        <v>0</v>
      </c>
      <c r="E29" s="32">
        <f t="shared" si="0"/>
        <v>0</v>
      </c>
      <c r="F29" s="32">
        <f t="shared" ref="F29" si="1">SUM(F26:F28)</f>
        <v>0</v>
      </c>
    </row>
    <row r="32" spans="1:6" x14ac:dyDescent="0.3">
      <c r="A32" s="146" t="s">
        <v>337</v>
      </c>
      <c r="B32" s="146"/>
      <c r="C32" s="146"/>
      <c r="D32" s="146"/>
    </row>
    <row r="33" spans="1:6" x14ac:dyDescent="0.3">
      <c r="A33" s="149" t="s">
        <v>350</v>
      </c>
      <c r="B33" s="147" t="s">
        <v>348</v>
      </c>
      <c r="C33" s="148"/>
      <c r="D33" s="147" t="s">
        <v>346</v>
      </c>
      <c r="E33" s="148"/>
      <c r="F33" s="190" t="s">
        <v>347</v>
      </c>
    </row>
    <row r="34" spans="1:6" ht="79.8" x14ac:dyDescent="0.3">
      <c r="A34" s="149"/>
      <c r="B34" s="141" t="s">
        <v>339</v>
      </c>
      <c r="C34" s="141" t="s">
        <v>340</v>
      </c>
      <c r="D34" s="141" t="s">
        <v>339</v>
      </c>
      <c r="E34" s="141" t="s">
        <v>340</v>
      </c>
      <c r="F34" s="141" t="s">
        <v>341</v>
      </c>
    </row>
    <row r="35" spans="1:6" x14ac:dyDescent="0.3">
      <c r="A35" s="17" t="s">
        <v>62</v>
      </c>
      <c r="B35" s="27">
        <v>0</v>
      </c>
      <c r="C35" s="28">
        <f>B35*D16</f>
        <v>0</v>
      </c>
      <c r="D35" s="27">
        <v>0</v>
      </c>
      <c r="E35" s="28">
        <f>D35*D16</f>
        <v>0</v>
      </c>
      <c r="F35" s="29">
        <f>SUM(C35+E35)</f>
        <v>0</v>
      </c>
    </row>
    <row r="36" spans="1:6" x14ac:dyDescent="0.3">
      <c r="A36" s="17" t="s">
        <v>63</v>
      </c>
      <c r="B36" s="27">
        <v>0</v>
      </c>
      <c r="C36" s="30">
        <f>B36*D15</f>
        <v>0</v>
      </c>
      <c r="D36" s="27">
        <v>0</v>
      </c>
      <c r="E36" s="28">
        <f>D36*D15</f>
        <v>0</v>
      </c>
      <c r="F36" s="29">
        <f>SUM(C36+E36)</f>
        <v>0</v>
      </c>
    </row>
    <row r="37" spans="1:6" x14ac:dyDescent="0.3">
      <c r="A37" s="17" t="s">
        <v>64</v>
      </c>
      <c r="B37" s="27">
        <v>0</v>
      </c>
      <c r="C37" s="30">
        <f>B37*D14</f>
        <v>0</v>
      </c>
      <c r="D37" s="27">
        <v>0</v>
      </c>
      <c r="E37" s="28">
        <f>D37*D14</f>
        <v>0</v>
      </c>
      <c r="F37" s="29">
        <f>SUM(C37+E37)</f>
        <v>0</v>
      </c>
    </row>
    <row r="38" spans="1:6" x14ac:dyDescent="0.3">
      <c r="A38" s="31" t="s">
        <v>65</v>
      </c>
      <c r="B38" s="32">
        <f t="shared" ref="B38:E38" si="2">SUM(B35:B37)</f>
        <v>0</v>
      </c>
      <c r="C38" s="32">
        <f t="shared" si="2"/>
        <v>0</v>
      </c>
      <c r="D38" s="32">
        <f t="shared" si="2"/>
        <v>0</v>
      </c>
      <c r="E38" s="32">
        <f t="shared" si="2"/>
        <v>0</v>
      </c>
      <c r="F38" s="32">
        <f t="shared" ref="F38" si="3">SUM(F35:F37)</f>
        <v>0</v>
      </c>
    </row>
  </sheetData>
  <sheetProtection deleteColumns="0" deleteRows="0"/>
  <protectedRanges>
    <protectedRange sqref="B26:B28 D26:D28 B35:B37 D35:D37" name="Numbers OSTDS"/>
    <protectedRange sqref="A7" name="County"/>
  </protectedRanges>
  <mergeCells count="16">
    <mergeCell ref="A32:D32"/>
    <mergeCell ref="A33:A34"/>
    <mergeCell ref="B33:C33"/>
    <mergeCell ref="D33:E33"/>
    <mergeCell ref="A9:C9"/>
    <mergeCell ref="A10:A11"/>
    <mergeCell ref="B10:B11"/>
    <mergeCell ref="C10:D10"/>
    <mergeCell ref="A23:D23"/>
    <mergeCell ref="A24:A25"/>
    <mergeCell ref="B24:C24"/>
    <mergeCell ref="D24:E24"/>
    <mergeCell ref="A20:F20"/>
    <mergeCell ref="A19:F19"/>
    <mergeCell ref="A21:F21"/>
    <mergeCell ref="A18:D18"/>
  </mergeCells>
  <hyperlinks>
    <hyperlink ref="A21:F21" r:id="rId1" display="Recharge areas GIS files can be downloaded here:  http://publicfiles.dep.state.fl.us/DEAR/BMAP/Outstanding%20Florida%20Springs%20BMAPs/GIS/Select%20Springs%20Recharge%20Layer/" xr:uid="{B22F1202-1C49-4F13-9A88-8FF102099219}"/>
    <hyperlink ref="A19:F19" r:id="rId2" display="PFA Maps are available in each springs BMAP, posted here: https://floridadep.gov/dear/water-quality-restoration/content/basin-management-action-plans-bmaps " xr:uid="{54EE02F7-AC35-4553-A946-20A9CD668263}"/>
    <hyperlink ref="A20:F20" r:id="rId3" display="PFA GIS files can be downloaded here: https://geodata.dep.state.fl.us/datasets/8a6f9e78959d48849e65f96c628eb883_1?geometry=-93.623%2C27.975%2C-72.716%2C31.316 " xr:uid="{30A56A9F-86C3-4496-A6EB-A381A20371DD}"/>
  </hyperlinks>
  <pageMargins left="0.7" right="0.7" top="0.75" bottom="0.75" header="0.3" footer="0.3"/>
  <customProperties>
    <customPr name="LastActive" r:id="rId4"/>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AC5309-CCA3-43CA-A8F3-D044A9AFFDAD}">
          <x14:formula1>
            <xm:f>ReferenceLists!$A$1:$A$67</xm:f>
          </x14:formula1>
          <xm:sqref>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C7A0-D22B-4F10-8F3C-82377F6D7E0E}">
  <sheetPr codeName="Sheet1">
    <tabColor rgb="FF00B050"/>
  </sheetPr>
  <dimension ref="A1:M41"/>
  <sheetViews>
    <sheetView showGridLines="0" workbookViewId="0">
      <selection activeCell="B7" sqref="B7"/>
    </sheetView>
  </sheetViews>
  <sheetFormatPr defaultColWidth="9.109375" defaultRowHeight="14.4" x14ac:dyDescent="0.3"/>
  <cols>
    <col min="1" max="1" width="55.5546875" customWidth="1"/>
    <col min="2" max="2" width="36.109375" customWidth="1"/>
    <col min="3" max="3" width="18.5546875" customWidth="1"/>
    <col min="4" max="4" width="24.44140625" customWidth="1"/>
    <col min="5" max="5" width="21.44140625" customWidth="1"/>
    <col min="6" max="6" width="17.44140625" customWidth="1"/>
    <col min="7" max="7" width="18.5546875" customWidth="1"/>
    <col min="8" max="8" width="20.5546875" customWidth="1"/>
    <col min="9" max="9" width="18.6640625" customWidth="1"/>
    <col min="10" max="10" width="16.6640625" customWidth="1"/>
    <col min="11" max="11" width="17.77734375" customWidth="1"/>
    <col min="12" max="12" width="18" customWidth="1"/>
    <col min="13" max="13" width="20.88671875" customWidth="1"/>
  </cols>
  <sheetData>
    <row r="1" spans="1:12" x14ac:dyDescent="0.3">
      <c r="A1" s="59" t="s">
        <v>66</v>
      </c>
      <c r="B1" s="60"/>
    </row>
    <row r="2" spans="1:12" x14ac:dyDescent="0.3">
      <c r="A2" s="58" t="s">
        <v>43</v>
      </c>
      <c r="B2" s="60"/>
    </row>
    <row r="4" spans="1:12" x14ac:dyDescent="0.3">
      <c r="A4" s="5" t="s">
        <v>67</v>
      </c>
    </row>
    <row r="5" spans="1:12" x14ac:dyDescent="0.3">
      <c r="A5" s="124" t="s">
        <v>327</v>
      </c>
    </row>
    <row r="6" spans="1:12" ht="28.5" customHeight="1" x14ac:dyDescent="0.3">
      <c r="A6" s="155" t="s">
        <v>68</v>
      </c>
      <c r="B6" s="155"/>
      <c r="C6" s="155"/>
      <c r="D6" s="155"/>
    </row>
    <row r="7" spans="1:12" x14ac:dyDescent="0.3">
      <c r="A7" s="138" t="s">
        <v>275</v>
      </c>
      <c r="B7" s="142"/>
      <c r="C7" s="142"/>
      <c r="D7" s="142"/>
    </row>
    <row r="9" spans="1:12" s="5" customFormat="1" x14ac:dyDescent="0.3">
      <c r="A9" s="88" t="s">
        <v>44</v>
      </c>
    </row>
    <row r="10" spans="1:12" s="5" customFormat="1" x14ac:dyDescent="0.3">
      <c r="A10" s="5" t="s">
        <v>69</v>
      </c>
    </row>
    <row r="11" spans="1:12" s="5" customFormat="1" x14ac:dyDescent="0.3">
      <c r="A11" s="5" t="s">
        <v>70</v>
      </c>
    </row>
    <row r="12" spans="1:12" s="5" customFormat="1" x14ac:dyDescent="0.3">
      <c r="A12" s="5" t="s">
        <v>328</v>
      </c>
    </row>
    <row r="13" spans="1:12" s="5" customFormat="1" x14ac:dyDescent="0.3">
      <c r="A13" s="154" t="s">
        <v>57</v>
      </c>
      <c r="B13" s="154"/>
      <c r="C13" s="154"/>
      <c r="D13" s="154"/>
      <c r="E13" s="154"/>
      <c r="F13" s="154"/>
    </row>
    <row r="14" spans="1:12" x14ac:dyDescent="0.3">
      <c r="A14" s="93" t="s">
        <v>72</v>
      </c>
      <c r="B14" s="93"/>
      <c r="C14" s="93"/>
      <c r="D14" s="93"/>
      <c r="E14" s="93"/>
      <c r="F14" s="93"/>
      <c r="G14" s="93"/>
      <c r="H14" s="93"/>
      <c r="I14" s="93"/>
      <c r="J14" s="5"/>
      <c r="L14" s="70"/>
    </row>
    <row r="15" spans="1:12" ht="100.8" x14ac:dyDescent="0.3">
      <c r="A15" s="62" t="s">
        <v>306</v>
      </c>
      <c r="B15" s="62" t="s">
        <v>307</v>
      </c>
      <c r="C15" s="62" t="s">
        <v>314</v>
      </c>
      <c r="D15" s="62" t="s">
        <v>315</v>
      </c>
      <c r="E15" s="62" t="s">
        <v>311</v>
      </c>
      <c r="F15" s="62" t="s">
        <v>352</v>
      </c>
      <c r="G15" s="62" t="s">
        <v>313</v>
      </c>
      <c r="H15" s="62" t="s">
        <v>353</v>
      </c>
      <c r="I15" s="35" t="s">
        <v>354</v>
      </c>
      <c r="K15" s="70"/>
    </row>
    <row r="16" spans="1:12" x14ac:dyDescent="0.3">
      <c r="A16" s="83"/>
      <c r="B16" s="83" t="s">
        <v>46</v>
      </c>
      <c r="C16" s="83"/>
      <c r="D16" s="84" t="s">
        <v>73</v>
      </c>
      <c r="E16" s="84" t="s">
        <v>74</v>
      </c>
      <c r="F16" s="73">
        <f>(ReferenceLists!$E$83+ReferenceLists!$E$84)*C16</f>
        <v>0</v>
      </c>
      <c r="G16" s="73">
        <f>(F16/453.592)*365</f>
        <v>0</v>
      </c>
      <c r="H16" s="73" t="e" cm="1">
        <f t="array" ref="H16">_xlfn.IFS(D16="High Recharge Rate",VLOOKUP(B16,ReferenceLists!$A$1:$J$67,4,FALSE),D16="Medium Recharge Rate",VLOOKUP(B16,ReferenceLists!$A$1:$J$67,5,FALSE),D16="Low Recharge Rate",VLOOKUP(B16,ReferenceLists!$A$1:$J$67,6,FALSE))*G16*VLOOKUP(B16,ReferenceLists!$A$1:$J$67,7,FALSE)</f>
        <v>#VALUE!</v>
      </c>
      <c r="I16" s="74" t="e" cm="1">
        <f t="array" ref="I16">_xlfn.IFS(E16="Enhancement",VLOOKUP(B16,ReferenceLists!$A$1:$J$67,8,FALSE),E16="Sewering",VLOOKUP(B16,ReferenceLists!$A$1:$J$67,9,FALSE))*H16</f>
        <v>#VALUE!</v>
      </c>
      <c r="K16" s="70"/>
    </row>
    <row r="17" spans="1:13" x14ac:dyDescent="0.3">
      <c r="A17" s="72"/>
      <c r="B17" s="72"/>
      <c r="C17" s="72"/>
      <c r="D17" s="75"/>
      <c r="E17" s="75"/>
      <c r="F17" s="72"/>
      <c r="G17" s="72"/>
      <c r="H17" s="72"/>
      <c r="I17" s="72"/>
      <c r="L17" s="70"/>
    </row>
    <row r="18" spans="1:13" x14ac:dyDescent="0.3">
      <c r="D18" s="63"/>
      <c r="E18" s="63"/>
      <c r="L18" s="70"/>
    </row>
    <row r="20" spans="1:13" x14ac:dyDescent="0.3">
      <c r="A20" s="93" t="s">
        <v>364</v>
      </c>
      <c r="B20" s="93"/>
      <c r="C20" s="93"/>
      <c r="D20" s="93"/>
      <c r="E20" s="93"/>
      <c r="F20" s="93"/>
      <c r="G20" s="93"/>
      <c r="H20" s="93"/>
      <c r="I20" s="93"/>
      <c r="J20" s="93"/>
      <c r="K20" s="93"/>
      <c r="L20" s="93"/>
    </row>
    <row r="21" spans="1:13" ht="100.8" x14ac:dyDescent="0.3">
      <c r="A21" s="62" t="s">
        <v>308</v>
      </c>
      <c r="B21" s="62" t="s">
        <v>307</v>
      </c>
      <c r="C21" s="62" t="s">
        <v>326</v>
      </c>
      <c r="D21" s="62" t="s">
        <v>309</v>
      </c>
      <c r="E21" s="62" t="s">
        <v>310</v>
      </c>
      <c r="F21" s="62" t="s">
        <v>311</v>
      </c>
      <c r="G21" s="62" t="s">
        <v>366</v>
      </c>
      <c r="H21" s="62" t="s">
        <v>312</v>
      </c>
      <c r="I21" s="62" t="s">
        <v>75</v>
      </c>
      <c r="J21" s="37" t="s">
        <v>357</v>
      </c>
      <c r="K21" s="62" t="s">
        <v>356</v>
      </c>
      <c r="L21" s="35" t="s">
        <v>355</v>
      </c>
    </row>
    <row r="22" spans="1:13" x14ac:dyDescent="0.3">
      <c r="A22" s="85"/>
      <c r="B22" s="85" t="s">
        <v>46</v>
      </c>
      <c r="C22" s="86">
        <v>0</v>
      </c>
      <c r="D22" s="87">
        <v>0</v>
      </c>
      <c r="E22" s="87" t="s">
        <v>73</v>
      </c>
      <c r="F22" s="87" t="s">
        <v>74</v>
      </c>
      <c r="G22" s="8">
        <f>60*(1-0.3)</f>
        <v>42</v>
      </c>
      <c r="H22" s="8">
        <f>(D22/100)*ReferenceLists!$O$89</f>
        <v>0</v>
      </c>
      <c r="I22" s="8">
        <f>H22/1000000</f>
        <v>0</v>
      </c>
      <c r="J22" s="38">
        <f>I22*G22*8.34*365</f>
        <v>0</v>
      </c>
      <c r="K22" s="38" t="e" cm="1">
        <f t="array" ref="K22">_xlfn.IFS(E22="High Recharge Rate",VLOOKUP(B22,ReferenceLists!$A$1:$J$67,4,FALSE),E22="Medium Recharge Rate",VLOOKUP(E22,ReferenceLists!$A$1:$J$67,5,FALSE),D22="Low Recharge Rate",VLOOKUP(B16,ReferenceLists!$A$1:$J$67,6,FALSE))*J22*VLOOKUP(B22,ReferenceLists!$A$1:$J$67,7,FALSE)</f>
        <v>#VALUE!</v>
      </c>
      <c r="L22" s="39" t="e" cm="1">
        <f t="array" ref="L22">_xlfn.IFS(F22="Enhancement",VLOOKUP(B22,ReferenceLists!$A$1:$J$67,8,FALSE),F22="Sewering",VLOOKUP(B22,ReferenceLists!$A$1:$J$67,9,FALSE))*K22</f>
        <v>#VALUE!</v>
      </c>
    </row>
    <row r="25" spans="1:13" x14ac:dyDescent="0.3">
      <c r="A25" s="93" t="s">
        <v>76</v>
      </c>
      <c r="B25" s="93"/>
      <c r="C25" s="93"/>
      <c r="D25" s="93"/>
      <c r="E25" s="93"/>
      <c r="F25" s="93"/>
      <c r="G25" s="93"/>
      <c r="H25" s="93"/>
      <c r="I25" s="93"/>
      <c r="J25" s="93"/>
      <c r="K25" s="93"/>
      <c r="L25" s="93"/>
      <c r="M25" s="93"/>
    </row>
    <row r="26" spans="1:13" ht="86.4" x14ac:dyDescent="0.3">
      <c r="A26" s="62" t="s">
        <v>77</v>
      </c>
      <c r="B26" s="62" t="s">
        <v>78</v>
      </c>
      <c r="C26" s="62" t="s">
        <v>79</v>
      </c>
      <c r="D26" s="62" t="s">
        <v>80</v>
      </c>
      <c r="E26" s="62" t="s">
        <v>307</v>
      </c>
      <c r="F26" s="62" t="s">
        <v>358</v>
      </c>
      <c r="G26" s="62" t="s">
        <v>311</v>
      </c>
      <c r="H26" s="62" t="s">
        <v>365</v>
      </c>
      <c r="I26" s="62" t="s">
        <v>359</v>
      </c>
      <c r="J26" s="62" t="s">
        <v>360</v>
      </c>
      <c r="K26" s="37" t="s">
        <v>361</v>
      </c>
      <c r="L26" s="62" t="s">
        <v>363</v>
      </c>
      <c r="M26" s="35" t="s">
        <v>362</v>
      </c>
    </row>
    <row r="27" spans="1:13" ht="28.8" x14ac:dyDescent="0.3">
      <c r="A27" s="86" t="s">
        <v>81</v>
      </c>
      <c r="B27" s="7" t="str">
        <f>VLOOKUP(A27,'OSTDS Flows by Facility Type'!A1:D18,2,FALSE)</f>
        <v>Determining Factor</v>
      </c>
      <c r="C27" s="86"/>
      <c r="D27" s="136" t="str">
        <f>VLOOKUP(A27,'OSTDS Flows by Facility Type'!A1:D18,3,FALSE)</f>
        <v>Average GPD per Determining Factor</v>
      </c>
      <c r="E27" s="137" t="s">
        <v>46</v>
      </c>
      <c r="F27" s="137" t="s">
        <v>45</v>
      </c>
      <c r="G27" s="87" t="s">
        <v>74</v>
      </c>
      <c r="H27" s="8">
        <f>60*(1-0.3)</f>
        <v>42</v>
      </c>
      <c r="I27" s="8" t="e">
        <f>D27*C27</f>
        <v>#VALUE!</v>
      </c>
      <c r="J27" s="8" t="e">
        <f>I27/1000000</f>
        <v>#VALUE!</v>
      </c>
      <c r="K27" s="38" t="e">
        <f>J27*H27*8.34*365</f>
        <v>#VALUE!</v>
      </c>
      <c r="L27" s="38" t="e" cm="1">
        <f t="array" ref="L27">_xlfn.IFS(F27="High Recharge Rate",VLOOKUP(E27,ReferenceLists!$A$1:$J$67,4,FALSE),F27="Medium Recharge Rate",VLOOKUP(E27,ReferenceLists!$A$1:$J$67,5,FALSE),F27="Low Recharge Rate",VLOOKUP(E27,ReferenceLists!$A$1:$J$67,6,FALSE))*K27*VLOOKUP(E27,ReferenceLists!$A$1:$J$67,7,FALSE)</f>
        <v>#VALUE!</v>
      </c>
      <c r="M27" s="39" t="e" cm="1">
        <f t="array" ref="M27">_xlfn.IFS(G27="Enhancement",VLOOKUP(E27,ReferenceLists!$A$1:$J$67,8,FALSE),G27="Sewering",VLOOKUP(E27,ReferenceLists!$A$1:$J$67,9,FALSE))*L27</f>
        <v>#VALUE!</v>
      </c>
    </row>
    <row r="41" spans="1:1" x14ac:dyDescent="0.3">
      <c r="A41" t="s">
        <v>82</v>
      </c>
    </row>
  </sheetData>
  <mergeCells count="2">
    <mergeCell ref="A6:D6"/>
    <mergeCell ref="A13:F13"/>
  </mergeCells>
  <hyperlinks>
    <hyperlink ref="A13:F13" r:id="rId1" display="Recharge areas GIS files can be downloaded here:  http://publicfiles.dep.state.fl.us/DEAR/BMAP/Outstanding%20Florida%20Springs%20BMAPs/GIS/Select%20Springs%20Recharge%20Layer/" xr:uid="{C9AFF8E7-ABEC-43E7-88BF-31340EE7EA55}"/>
  </hyperlinks>
  <pageMargins left="0.7" right="0.7" top="0.75" bottom="0.75" header="0.3" footer="0.3"/>
  <pageSetup orientation="portrait" horizontalDpi="0" verticalDpi="0" r:id="rId2"/>
  <customProperties>
    <customPr name="LastActive" r:id="rId3"/>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7C017AD3-B0DC-43EE-9E66-DE1D56EDCBB6}">
          <x14:formula1>
            <xm:f>ReferenceLists!$H$1:$I$1</xm:f>
          </x14:formula1>
          <xm:sqref>F22 E16:E18 G27</xm:sqref>
        </x14:dataValidation>
        <x14:dataValidation type="list" allowBlank="1" showInputMessage="1" showErrorMessage="1" xr:uid="{44CD3E41-503B-4876-B3A2-9E10AE0E1A5C}">
          <x14:formula1>
            <xm:f>ReferenceLists!$D$1:$F$1</xm:f>
          </x14:formula1>
          <xm:sqref>E22 D16:D18 F27</xm:sqref>
        </x14:dataValidation>
        <x14:dataValidation type="list" allowBlank="1" showInputMessage="1" showErrorMessage="1" xr:uid="{FB072C37-0199-478A-B56B-C02FB7E263FB}">
          <x14:formula1>
            <xm:f>ReferenceLists!$A$1:$A$67</xm:f>
          </x14:formula1>
          <xm:sqref>B22 B16 E27</xm:sqref>
        </x14:dataValidation>
        <x14:dataValidation type="list" allowBlank="1" showInputMessage="1" showErrorMessage="1" xr:uid="{B5012B3E-D91C-4051-8E6F-E974B396799A}">
          <x14:formula1>
            <xm:f>'OSTDS Flows by Facility Type'!$A$1:$A$18</xm:f>
          </x14:formula1>
          <xm:sqref>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16917-3AB9-41D0-ADDB-970EA872ACD2}">
  <sheetPr codeName="Sheet4">
    <tabColor rgb="FFFFC000"/>
  </sheetPr>
  <dimension ref="A1:G20"/>
  <sheetViews>
    <sheetView showGridLines="0" workbookViewId="0">
      <selection activeCell="C12" sqref="C12"/>
    </sheetView>
  </sheetViews>
  <sheetFormatPr defaultRowHeight="14.4" x14ac:dyDescent="0.3"/>
  <cols>
    <col min="1" max="1" width="27.88671875" customWidth="1"/>
    <col min="2" max="2" width="39.88671875" customWidth="1"/>
    <col min="3" max="5" width="22.6640625" customWidth="1"/>
    <col min="6" max="6" width="16.5546875" customWidth="1"/>
  </cols>
  <sheetData>
    <row r="1" spans="1:7" x14ac:dyDescent="0.3">
      <c r="A1" s="5" t="s">
        <v>26</v>
      </c>
    </row>
    <row r="2" spans="1:7" x14ac:dyDescent="0.3">
      <c r="A2" s="126" t="s">
        <v>27</v>
      </c>
      <c r="B2" s="127"/>
      <c r="C2" s="127"/>
    </row>
    <row r="3" spans="1:7" x14ac:dyDescent="0.3">
      <c r="A3" t="s">
        <v>276</v>
      </c>
      <c r="D3" s="186" t="s">
        <v>371</v>
      </c>
      <c r="E3" s="187"/>
      <c r="F3" s="187"/>
    </row>
    <row r="5" spans="1:7" x14ac:dyDescent="0.3">
      <c r="A5" s="61"/>
    </row>
    <row r="6" spans="1:7" s="5" customFormat="1" x14ac:dyDescent="0.3">
      <c r="A6" s="88" t="s">
        <v>44</v>
      </c>
    </row>
    <row r="7" spans="1:7" s="5" customFormat="1" x14ac:dyDescent="0.3">
      <c r="A7" s="5" t="s">
        <v>69</v>
      </c>
    </row>
    <row r="8" spans="1:7" s="5" customFormat="1" x14ac:dyDescent="0.3">
      <c r="A8" s="5" t="s">
        <v>70</v>
      </c>
    </row>
    <row r="9" spans="1:7" s="5" customFormat="1" x14ac:dyDescent="0.3">
      <c r="A9" s="5" t="s">
        <v>71</v>
      </c>
    </row>
    <row r="10" spans="1:7" x14ac:dyDescent="0.3">
      <c r="F10" s="77"/>
    </row>
    <row r="11" spans="1:7" ht="43.2" x14ac:dyDescent="0.3">
      <c r="A11" s="62" t="s">
        <v>332</v>
      </c>
      <c r="B11" s="62" t="s">
        <v>83</v>
      </c>
      <c r="C11" s="62" t="s">
        <v>329</v>
      </c>
      <c r="D11" s="62" t="s">
        <v>298</v>
      </c>
      <c r="E11" s="62" t="s">
        <v>330</v>
      </c>
      <c r="F11" s="35" t="s">
        <v>331</v>
      </c>
    </row>
    <row r="12" spans="1:7" x14ac:dyDescent="0.3">
      <c r="A12" s="85" t="s">
        <v>46</v>
      </c>
      <c r="B12" s="184" t="s">
        <v>85</v>
      </c>
      <c r="C12" s="85"/>
      <c r="D12" s="82" t="str" cm="1">
        <f t="array" ref="D12">_xlfn.IFS(B12=ReferenceLists!O2,VLOOKUP(B12,ReferenceLists!$O$1:$Q$3,2,FALSE),B12=ReferenceLists!O3,VLOOKUP(B12,ReferenceLists!$O$1:$Q$3,2,FALSE))</f>
        <v>9.012</v>
      </c>
      <c r="E12" s="7" t="str">
        <f>VLOOKUP(A12,ReferenceLists!$A$1:$J$67,2,FALSE)</f>
        <v># of Persons Per Household (2014-2018 Average)</v>
      </c>
      <c r="F12" s="36" t="e" cm="1">
        <f t="array" ref="F12">_xlfn.IFS(B12=ReferenceLists!O2,VLOOKUP(B12,ReferenceLists!$O$1:$Q$3,3,FALSE),B12=ReferenceLists!O3,VLOOKUP(B12,ReferenceLists!$O$1:$Q$3,3,FALSE))*D12*E12*C12</f>
        <v>#VALUE!</v>
      </c>
      <c r="G12" s="76"/>
    </row>
    <row r="13" spans="1:7" x14ac:dyDescent="0.3">
      <c r="F13" s="71"/>
    </row>
    <row r="14" spans="1:7" x14ac:dyDescent="0.3">
      <c r="D14" s="71"/>
    </row>
    <row r="18" spans="1:1" x14ac:dyDescent="0.3">
      <c r="A18" s="1"/>
    </row>
    <row r="19" spans="1:1" x14ac:dyDescent="0.3">
      <c r="A19" s="1"/>
    </row>
    <row r="20" spans="1:1" x14ac:dyDescent="0.3">
      <c r="A20" s="1"/>
    </row>
  </sheetData>
  <conditionalFormatting sqref="B2 B5">
    <cfRule type="dataBar" priority="6">
      <dataBar>
        <cfvo type="min"/>
        <cfvo type="max"/>
        <color rgb="FF638EC6"/>
      </dataBar>
      <extLst>
        <ext xmlns:x14="http://schemas.microsoft.com/office/spreadsheetml/2009/9/main" uri="{B025F937-C7B1-47D3-B67F-A62EFF666E3E}">
          <x14:id>{3843B238-C3C0-40D3-BF58-85DDA9FEE5DE}</x14:id>
        </ext>
      </extLst>
    </cfRule>
  </conditionalFormatting>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78C0D931-6437-407d-A8EE-F0AAD7539E65}">
      <x14:conditionalFormattings>
        <x14:conditionalFormatting xmlns:xm="http://schemas.microsoft.com/office/excel/2006/main">
          <x14:cfRule type="dataBar" id="{3843B238-C3C0-40D3-BF58-85DDA9FEE5DE}">
            <x14:dataBar minLength="0" maxLength="100" gradient="0">
              <x14:cfvo type="autoMin"/>
              <x14:cfvo type="autoMax"/>
              <x14:negativeFillColor rgb="FFFF0000"/>
              <x14:axisColor rgb="FF000000"/>
            </x14:dataBar>
          </x14:cfRule>
          <xm:sqref>B2 B5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5BD550-A7E9-4161-8D34-A2C1FF5CF9C9}">
          <x14:formula1>
            <xm:f>ReferenceLists!$A$1:$A$67</xm:f>
          </x14:formula1>
          <xm:sqref>A12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0977-46A2-4C86-9EE9-8F9704FC48FE}">
  <sheetPr codeName="Sheet6">
    <tabColor rgb="FFFFC000"/>
  </sheetPr>
  <dimension ref="A1:S56"/>
  <sheetViews>
    <sheetView showGridLines="0" zoomScale="80" zoomScaleNormal="80" workbookViewId="0">
      <selection activeCell="C22" sqref="C22"/>
    </sheetView>
  </sheetViews>
  <sheetFormatPr defaultColWidth="9.109375" defaultRowHeight="14.4" x14ac:dyDescent="0.3"/>
  <cols>
    <col min="1" max="1" width="61.6640625" customWidth="1"/>
    <col min="2" max="3" width="23.6640625" style="63" customWidth="1"/>
    <col min="4" max="4" width="16.33203125" customWidth="1"/>
    <col min="5" max="5" width="29.88671875" customWidth="1"/>
    <col min="6" max="6" width="22.44140625" customWidth="1"/>
    <col min="7" max="7" width="25.44140625" customWidth="1"/>
    <col min="8" max="8" width="17.88671875" customWidth="1"/>
    <col min="9" max="9" width="29.77734375" customWidth="1"/>
    <col min="10" max="10" width="26.5546875" customWidth="1"/>
    <col min="11" max="11" width="17.33203125" customWidth="1"/>
    <col min="12" max="12" width="30.5546875" customWidth="1"/>
    <col min="13" max="13" width="26" customWidth="1"/>
    <col min="14" max="14" width="16.6640625" customWidth="1"/>
    <col min="15" max="15" width="26.88671875" customWidth="1"/>
    <col min="16" max="16" width="65.5546875" customWidth="1"/>
    <col min="17" max="17" width="36.6640625" customWidth="1"/>
    <col min="18" max="18" width="15.6640625" customWidth="1"/>
    <col min="19" max="19" width="85.6640625" customWidth="1"/>
    <col min="20" max="20" width="17.109375" customWidth="1"/>
    <col min="21" max="21" width="24.109375" customWidth="1"/>
    <col min="22" max="22" width="10" customWidth="1"/>
  </cols>
  <sheetData>
    <row r="1" spans="1:19" x14ac:dyDescent="0.3">
      <c r="A1" s="5" t="s">
        <v>86</v>
      </c>
    </row>
    <row r="2" spans="1:19" x14ac:dyDescent="0.3">
      <c r="A2" s="185" t="s">
        <v>27</v>
      </c>
      <c r="B2" s="130"/>
    </row>
    <row r="3" spans="1:19" x14ac:dyDescent="0.3">
      <c r="A3" t="s">
        <v>305</v>
      </c>
      <c r="D3" s="186" t="s">
        <v>371</v>
      </c>
      <c r="E3" s="187"/>
      <c r="F3" s="187"/>
    </row>
    <row r="4" spans="1:19" x14ac:dyDescent="0.3">
      <c r="A4" s="6"/>
    </row>
    <row r="5" spans="1:19" s="5" customFormat="1" x14ac:dyDescent="0.3">
      <c r="A5" s="88" t="s">
        <v>278</v>
      </c>
      <c r="B5" s="131"/>
      <c r="C5" s="131"/>
    </row>
    <row r="6" spans="1:19" s="5" customFormat="1" x14ac:dyDescent="0.3">
      <c r="A6" s="5" t="s">
        <v>69</v>
      </c>
      <c r="B6" s="131"/>
      <c r="C6" s="131"/>
    </row>
    <row r="7" spans="1:19" s="5" customFormat="1" x14ac:dyDescent="0.3">
      <c r="A7" s="5" t="s">
        <v>70</v>
      </c>
      <c r="B7" s="131"/>
      <c r="C7" s="131"/>
    </row>
    <row r="8" spans="1:19" s="5" customFormat="1" x14ac:dyDescent="0.3">
      <c r="A8" s="5" t="s">
        <v>328</v>
      </c>
      <c r="B8" s="131"/>
      <c r="C8" s="131"/>
    </row>
    <row r="10" spans="1:19" ht="38.4" customHeight="1" x14ac:dyDescent="0.3">
      <c r="A10" s="93" t="s">
        <v>87</v>
      </c>
      <c r="B10" s="132"/>
      <c r="C10" s="132"/>
      <c r="D10" s="96"/>
      <c r="E10" s="96"/>
      <c r="F10" s="96"/>
      <c r="G10" s="96"/>
      <c r="H10" s="96"/>
      <c r="I10" s="96"/>
      <c r="J10" s="96"/>
      <c r="K10" s="96"/>
      <c r="L10" s="96"/>
      <c r="M10" s="96"/>
      <c r="N10" s="96"/>
      <c r="O10" s="96"/>
      <c r="P10" s="96"/>
    </row>
    <row r="11" spans="1:19" ht="72" x14ac:dyDescent="0.3">
      <c r="A11" s="118" t="s">
        <v>286</v>
      </c>
      <c r="B11" s="94" t="s">
        <v>300</v>
      </c>
      <c r="C11" s="94" t="s">
        <v>285</v>
      </c>
      <c r="D11" s="94" t="s">
        <v>299</v>
      </c>
      <c r="E11" s="94" t="s">
        <v>301</v>
      </c>
      <c r="F11" s="94" t="s">
        <v>302</v>
      </c>
      <c r="G11" s="94" t="s">
        <v>303</v>
      </c>
      <c r="H11" s="94" t="s">
        <v>304</v>
      </c>
      <c r="I11" s="94" t="s">
        <v>88</v>
      </c>
      <c r="J11" s="94" t="s">
        <v>284</v>
      </c>
      <c r="K11" s="94" t="s">
        <v>287</v>
      </c>
      <c r="L11" s="94" t="s">
        <v>291</v>
      </c>
      <c r="M11" s="94" t="s">
        <v>89</v>
      </c>
      <c r="N11" s="167" t="s">
        <v>288</v>
      </c>
      <c r="O11" s="35" t="s">
        <v>289</v>
      </c>
      <c r="P11" s="119" t="s">
        <v>90</v>
      </c>
    </row>
    <row r="12" spans="1:19" x14ac:dyDescent="0.3">
      <c r="A12" s="97"/>
      <c r="B12" s="139" t="s">
        <v>91</v>
      </c>
      <c r="C12" s="87" t="s">
        <v>46</v>
      </c>
      <c r="D12" s="98"/>
      <c r="E12" s="90">
        <v>1</v>
      </c>
      <c r="F12" s="99">
        <v>23.7</v>
      </c>
      <c r="G12" s="166">
        <v>0.5</v>
      </c>
      <c r="H12" s="99">
        <f>D12*F12*G12</f>
        <v>0</v>
      </c>
      <c r="I12" s="166">
        <v>0.05</v>
      </c>
      <c r="J12" s="98" t="s">
        <v>92</v>
      </c>
      <c r="K12" s="166">
        <f>VLOOKUP(J12,ReferenceLists!$O$12:$P$20,2,FALSE)</f>
        <v>4.9000000000000002E-2</v>
      </c>
      <c r="L12" s="163" t="s">
        <v>100</v>
      </c>
      <c r="M12" s="100" t="e" cm="1">
        <f t="array" ref="M12">_xlfn.IFS(L12=ReferenceLists!$C$1,VLOOKUP('SJRWMD_DEP Modified'!C12,ReferenceLists!$A$2:$J$67,3,FALSE),L12=ReferenceLists!$D$1,VLOOKUP('SJRWMD_DEP Modified'!C12,ReferenceLists!$A$2:$J$67,4,FALSE),L12=ReferenceLists!$E$1,VLOOKUP('SJRWMD_DEP Modified'!C12,ReferenceLists!$A$2:$J$67,5,FALSE),L12=ReferenceLists!$F$1,VLOOKUP('SJRWMD_DEP Modified'!C12,ReferenceLists!$A$2:$J$67,6,FALSE))</f>
        <v>#N/A</v>
      </c>
      <c r="N12" s="135" t="e">
        <f>((D12*F12*G12)-(D12*F12*I12*K12*M12))</f>
        <v>#N/A</v>
      </c>
      <c r="O12" s="135" t="e">
        <f>((D12*E12*F12*G12)-((D12*E12)*F12*I12*K12*M12))</f>
        <v>#N/A</v>
      </c>
      <c r="P12" s="129"/>
    </row>
    <row r="13" spans="1:19" x14ac:dyDescent="0.3">
      <c r="A13" s="101"/>
      <c r="B13" s="133"/>
      <c r="C13" s="75"/>
      <c r="D13" s="72"/>
      <c r="E13" s="72"/>
      <c r="F13" s="102"/>
      <c r="G13" s="91"/>
      <c r="H13" s="102"/>
      <c r="I13" s="102"/>
      <c r="J13" s="102"/>
      <c r="K13" s="103"/>
      <c r="L13" s="102"/>
      <c r="M13" s="102"/>
      <c r="N13" s="102"/>
      <c r="O13" s="102"/>
      <c r="P13" s="104"/>
      <c r="Q13" s="105"/>
      <c r="R13" s="105"/>
      <c r="S13" s="106"/>
    </row>
    <row r="14" spans="1:19" x14ac:dyDescent="0.3">
      <c r="A14" s="107"/>
      <c r="B14" s="134"/>
      <c r="F14" s="108"/>
      <c r="G14" s="92"/>
      <c r="H14" s="108"/>
      <c r="I14" s="108"/>
      <c r="J14" s="108"/>
      <c r="K14" s="109"/>
      <c r="L14" s="108"/>
      <c r="M14" s="108"/>
      <c r="N14" s="108"/>
      <c r="O14" s="108"/>
      <c r="P14" s="110"/>
      <c r="Q14" s="111"/>
      <c r="R14" s="111"/>
      <c r="S14" s="112"/>
    </row>
    <row r="15" spans="1:19" x14ac:dyDescent="0.3">
      <c r="A15" s="5"/>
      <c r="B15" s="131"/>
      <c r="C15" s="131"/>
      <c r="F15" s="108"/>
      <c r="G15" s="108"/>
      <c r="H15" s="113"/>
      <c r="I15" s="113"/>
      <c r="J15" s="113"/>
      <c r="K15" s="113"/>
      <c r="L15" s="63"/>
      <c r="M15" s="63"/>
      <c r="N15" s="113"/>
      <c r="O15" s="113"/>
      <c r="P15" s="114"/>
      <c r="Q15" s="115"/>
      <c r="R15" s="115"/>
      <c r="S15" s="115"/>
    </row>
    <row r="16" spans="1:19" x14ac:dyDescent="0.3">
      <c r="L16" s="114"/>
      <c r="M16" s="114"/>
      <c r="Q16" s="115"/>
      <c r="R16" s="115"/>
      <c r="S16" s="115"/>
    </row>
    <row r="17" spans="1:19" ht="30" customHeight="1" x14ac:dyDescent="0.3">
      <c r="A17" s="93" t="s">
        <v>279</v>
      </c>
      <c r="B17" s="132"/>
      <c r="C17" s="132"/>
      <c r="D17" s="96"/>
      <c r="E17" s="96"/>
      <c r="F17" s="96"/>
      <c r="G17" s="96"/>
      <c r="H17" s="96"/>
      <c r="I17" s="96"/>
      <c r="J17" s="96"/>
      <c r="K17" s="96"/>
      <c r="L17" s="96"/>
      <c r="R17" s="115"/>
    </row>
    <row r="18" spans="1:19" ht="57.6" x14ac:dyDescent="0.3">
      <c r="A18" s="164" t="s">
        <v>333</v>
      </c>
      <c r="B18" s="94" t="s">
        <v>285</v>
      </c>
      <c r="C18" s="94" t="s">
        <v>299</v>
      </c>
      <c r="D18" s="94" t="s">
        <v>280</v>
      </c>
      <c r="E18" s="94" t="s">
        <v>281</v>
      </c>
      <c r="F18" s="94" t="s">
        <v>282</v>
      </c>
      <c r="G18" s="94" t="s">
        <v>93</v>
      </c>
      <c r="H18" s="94" t="s">
        <v>94</v>
      </c>
      <c r="I18" s="94" t="s">
        <v>291</v>
      </c>
      <c r="J18" s="94" t="s">
        <v>277</v>
      </c>
      <c r="K18" s="79" t="s">
        <v>290</v>
      </c>
      <c r="L18" s="79" t="s">
        <v>283</v>
      </c>
      <c r="R18" s="115"/>
    </row>
    <row r="19" spans="1:19" x14ac:dyDescent="0.3">
      <c r="A19" s="95"/>
      <c r="B19" s="87" t="s">
        <v>46</v>
      </c>
      <c r="C19" s="98"/>
      <c r="D19" s="116">
        <v>23.7</v>
      </c>
      <c r="E19" s="165">
        <v>0.5</v>
      </c>
      <c r="F19" s="87" t="s">
        <v>95</v>
      </c>
      <c r="G19" s="116" t="e" cm="1">
        <f t="array" ref="G19">_xlfn.IFS(F19=ReferenceLists!$O$29,VLOOKUP('SJRWMD_DEP Modified'!F19,ReferenceLists!$O$28:$P$33,2,FALSE),F19=ReferenceLists!$O$30,VLOOKUP('SJRWMD_DEP Modified'!F19,ReferenceLists!$O$28:$P$33,2,FALSE),F19=ReferenceLists!$O$31,VLOOKUP('SJRWMD_DEP Modified'!F19,ReferenceLists!$O$28:$P$33,2,FALSE),F19=ReferenceLists!$O$32,VLOOKUP('SJRWMD_DEP Modified'!F19,ReferenceLists!$O$28:$P$33,2,FALSE),F19=ReferenceLists!$O$33,VLOOKUP('SJRWMD_DEP Modified'!F19,ReferenceLists!$O$28:$P$33,2,FALSE))</f>
        <v>#N/A</v>
      </c>
      <c r="H19" s="165">
        <v>0.8</v>
      </c>
      <c r="I19" s="163" t="s">
        <v>100</v>
      </c>
      <c r="J19" s="100" t="e" cm="1">
        <f t="array" ref="J19">_xlfn.IFS(I19=ReferenceLists!$C$1,VLOOKUP('SJRWMD_DEP Modified'!B19,ReferenceLists!$A$2:$J$67,3,FALSE),I19=ReferenceLists!$D$1,VLOOKUP('SJRWMD_DEP Modified'!B19,ReferenceLists!$A$2:$J$67,4,FALSE),I19=ReferenceLists!$E$1,VLOOKUP('SJRWMD_DEP Modified'!B19,ReferenceLists!$A$2:$J$67,5,FALSE),I19=ReferenceLists!$F$1,VLOOKUP('SJRWMD_DEP Modified'!B19,ReferenceLists!$A$2:$J$67,6,FALSE))</f>
        <v>#N/A</v>
      </c>
      <c r="K19" s="128" t="e">
        <f>C19*D19*E19*J19</f>
        <v>#N/A</v>
      </c>
      <c r="L19" s="128" t="e">
        <f>((C19*D19*E19)-(C19*D19*G19*H19))*J19</f>
        <v>#N/A</v>
      </c>
      <c r="R19" s="115"/>
    </row>
    <row r="20" spans="1:19" x14ac:dyDescent="0.3">
      <c r="Q20" s="115"/>
      <c r="R20" s="115"/>
      <c r="S20" s="115"/>
    </row>
    <row r="21" spans="1:19" x14ac:dyDescent="0.3">
      <c r="Q21" s="115"/>
      <c r="R21" s="115"/>
      <c r="S21" s="115"/>
    </row>
    <row r="22" spans="1:19" x14ac:dyDescent="0.3">
      <c r="Q22" s="115"/>
      <c r="R22" s="115"/>
      <c r="S22" s="115"/>
    </row>
    <row r="23" spans="1:19" x14ac:dyDescent="0.3">
      <c r="Q23" s="115"/>
      <c r="R23" s="115"/>
      <c r="S23" s="115"/>
    </row>
    <row r="24" spans="1:19" x14ac:dyDescent="0.3">
      <c r="Q24" s="115"/>
      <c r="R24" s="115"/>
      <c r="S24" s="115"/>
    </row>
    <row r="25" spans="1:19" x14ac:dyDescent="0.3">
      <c r="Q25" s="115"/>
      <c r="R25" s="115"/>
      <c r="S25" s="115"/>
    </row>
    <row r="26" spans="1:19" x14ac:dyDescent="0.3">
      <c r="Q26" s="115"/>
      <c r="R26" s="115"/>
      <c r="S26" s="115"/>
    </row>
    <row r="27" spans="1:19" x14ac:dyDescent="0.3">
      <c r="Q27" s="115"/>
      <c r="R27" s="115"/>
      <c r="S27" s="115"/>
    </row>
    <row r="28" spans="1:19" x14ac:dyDescent="0.3">
      <c r="Q28" s="115"/>
      <c r="R28" s="115"/>
      <c r="S28" s="115"/>
    </row>
    <row r="29" spans="1:19" x14ac:dyDescent="0.3">
      <c r="Q29" s="115"/>
      <c r="R29" s="115"/>
      <c r="S29" s="115"/>
    </row>
    <row r="30" spans="1:19" x14ac:dyDescent="0.3">
      <c r="Q30" s="115"/>
      <c r="R30" s="115"/>
      <c r="S30" s="115"/>
    </row>
    <row r="31" spans="1:19" x14ac:dyDescent="0.3">
      <c r="Q31" s="117"/>
      <c r="R31" s="117"/>
      <c r="S31" s="117"/>
    </row>
    <row r="32" spans="1:19" x14ac:dyDescent="0.3">
      <c r="Q32" s="117"/>
      <c r="R32" s="117"/>
      <c r="S32" s="117"/>
    </row>
    <row r="33" spans="17:19" x14ac:dyDescent="0.3">
      <c r="Q33" s="117"/>
      <c r="R33" s="117"/>
      <c r="S33" s="117"/>
    </row>
    <row r="34" spans="17:19" x14ac:dyDescent="0.3">
      <c r="Q34" s="117"/>
      <c r="R34" s="117"/>
      <c r="S34" s="117"/>
    </row>
    <row r="35" spans="17:19" x14ac:dyDescent="0.3">
      <c r="Q35" s="117"/>
      <c r="R35" s="117"/>
      <c r="S35" s="117"/>
    </row>
    <row r="36" spans="17:19" x14ac:dyDescent="0.3">
      <c r="Q36" s="117"/>
      <c r="R36" s="117"/>
      <c r="S36" s="117"/>
    </row>
    <row r="37" spans="17:19" x14ac:dyDescent="0.3">
      <c r="Q37" s="117"/>
      <c r="R37" s="117"/>
      <c r="S37" s="117"/>
    </row>
    <row r="38" spans="17:19" x14ac:dyDescent="0.3">
      <c r="Q38" s="117"/>
      <c r="R38" s="117"/>
      <c r="S38" s="117"/>
    </row>
    <row r="39" spans="17:19" x14ac:dyDescent="0.3">
      <c r="Q39" s="117"/>
      <c r="R39" s="117"/>
      <c r="S39" s="117"/>
    </row>
    <row r="40" spans="17:19" x14ac:dyDescent="0.3">
      <c r="Q40" s="117"/>
      <c r="R40" s="117"/>
      <c r="S40" s="117"/>
    </row>
    <row r="41" spans="17:19" x14ac:dyDescent="0.3">
      <c r="Q41" s="117"/>
      <c r="R41" s="117"/>
      <c r="S41" s="117"/>
    </row>
    <row r="42" spans="17:19" x14ac:dyDescent="0.3">
      <c r="Q42" s="117"/>
      <c r="R42" s="117"/>
      <c r="S42" s="117"/>
    </row>
    <row r="43" spans="17:19" x14ac:dyDescent="0.3">
      <c r="Q43" s="117"/>
      <c r="R43" s="117"/>
      <c r="S43" s="117"/>
    </row>
    <row r="44" spans="17:19" x14ac:dyDescent="0.3">
      <c r="Q44" s="117"/>
      <c r="R44" s="117"/>
      <c r="S44" s="117"/>
    </row>
    <row r="45" spans="17:19" x14ac:dyDescent="0.3">
      <c r="Q45" s="117"/>
      <c r="R45" s="117"/>
      <c r="S45" s="117"/>
    </row>
    <row r="46" spans="17:19" x14ac:dyDescent="0.3">
      <c r="Q46" s="117"/>
      <c r="R46" s="117"/>
      <c r="S46" s="117"/>
    </row>
    <row r="47" spans="17:19" x14ac:dyDescent="0.3">
      <c r="Q47" s="117"/>
      <c r="R47" s="117"/>
      <c r="S47" s="117"/>
    </row>
    <row r="48" spans="17:19" x14ac:dyDescent="0.3">
      <c r="Q48" s="117"/>
      <c r="R48" s="117"/>
      <c r="S48" s="117"/>
    </row>
    <row r="49" spans="17:19" x14ac:dyDescent="0.3">
      <c r="Q49" s="117"/>
      <c r="R49" s="117"/>
      <c r="S49" s="117"/>
    </row>
    <row r="50" spans="17:19" x14ac:dyDescent="0.3">
      <c r="Q50" s="117"/>
      <c r="R50" s="117"/>
      <c r="S50" s="117"/>
    </row>
    <row r="51" spans="17:19" x14ac:dyDescent="0.3">
      <c r="Q51" s="117"/>
      <c r="R51" s="117"/>
      <c r="S51" s="117"/>
    </row>
    <row r="52" spans="17:19" x14ac:dyDescent="0.3">
      <c r="Q52" s="117"/>
      <c r="R52" s="117"/>
      <c r="S52" s="117"/>
    </row>
    <row r="53" spans="17:19" x14ac:dyDescent="0.3">
      <c r="Q53" s="117"/>
      <c r="R53" s="117"/>
      <c r="S53" s="117"/>
    </row>
    <row r="54" spans="17:19" x14ac:dyDescent="0.3">
      <c r="Q54" s="117"/>
      <c r="R54" s="117"/>
      <c r="S54" s="117"/>
    </row>
    <row r="55" spans="17:19" x14ac:dyDescent="0.3">
      <c r="Q55" s="117"/>
      <c r="R55" s="117"/>
      <c r="S55" s="117"/>
    </row>
    <row r="56" spans="17:19" x14ac:dyDescent="0.3">
      <c r="Q56" s="117"/>
      <c r="R56" s="117"/>
      <c r="S56" s="117"/>
    </row>
  </sheetData>
  <dataValidations count="3">
    <dataValidation type="list" allowBlank="1" showInputMessage="1" showErrorMessage="1" sqref="D13:D14" xr:uid="{2F8C7FE2-F6FD-40C6-A155-DC81B7E2E171}">
      <formula1>"Y,N"</formula1>
    </dataValidation>
    <dataValidation type="list" allowBlank="1" showInputMessage="1" showErrorMessage="1" sqref="B13:B14" xr:uid="{C8445CE3-BD6A-4F74-8185-29EC4B9C42F9}">
      <formula1>"'Y','N','Not Sure'"</formula1>
    </dataValidation>
    <dataValidation type="list" allowBlank="1" showInputMessage="1" showErrorMessage="1" sqref="B12" xr:uid="{3C0B3F7C-14BB-4ECE-A2B7-420527B0F5B7}">
      <formula1>"'Y,'N,'Not Sure"</formula1>
    </dataValidation>
  </dataValidations>
  <pageMargins left="0.7" right="0.7" top="0.75" bottom="0.75" header="0.3" footer="0.3"/>
  <pageSetup orientation="portrait" r:id="rId1"/>
  <customProperties>
    <customPr name="LastActive"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9AEB2B74-4B4C-4300-A39F-1C5FD1A77ED7}">
          <x14:formula1>
            <xm:f>ReferenceLists!$A$1:$A$67</xm:f>
          </x14:formula1>
          <xm:sqref>C12:C14 B19</xm:sqref>
        </x14:dataValidation>
        <x14:dataValidation type="list" allowBlank="1" showInputMessage="1" showErrorMessage="1" xr:uid="{FD3BB574-2E91-4290-86AA-8BAA45088F4D}">
          <x14:formula1>
            <xm:f>ReferenceLists!$C$1:$F$1</xm:f>
          </x14:formula1>
          <xm:sqref>O13:O14</xm:sqref>
        </x14:dataValidation>
        <x14:dataValidation type="list" allowBlank="1" showInputMessage="1" showErrorMessage="1" xr:uid="{12603A6C-D518-4D6D-9D22-A9B7E12DB53C}">
          <x14:formula1>
            <xm:f>ReferenceLists!$O$28:$O$33</xm:f>
          </x14:formula1>
          <xm:sqref>F19</xm:sqref>
        </x14:dataValidation>
        <x14:dataValidation type="list" allowBlank="1" showInputMessage="1" showErrorMessage="1" xr:uid="{7CDD307A-2042-444C-BE8E-8B0D28539A90}">
          <x14:formula1>
            <xm:f>ReferenceLists!$O$12:$O$20</xm:f>
          </x14:formula1>
          <xm:sqref>M13:M14 J12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86F5-EB6B-4A36-8444-E042FAED4382}">
  <sheetPr codeName="Sheet5">
    <tabColor rgb="FFFFC000"/>
  </sheetPr>
  <dimension ref="A1:I12"/>
  <sheetViews>
    <sheetView showGridLines="0" zoomScaleNormal="100" workbookViewId="0">
      <selection activeCell="C16" sqref="C16"/>
    </sheetView>
  </sheetViews>
  <sheetFormatPr defaultRowHeight="14.4" x14ac:dyDescent="0.3"/>
  <cols>
    <col min="1" max="1" width="15.109375" customWidth="1"/>
    <col min="2" max="2" width="28" customWidth="1"/>
    <col min="3" max="3" width="23.33203125" customWidth="1"/>
    <col min="4" max="4" width="17.6640625" customWidth="1"/>
    <col min="5" max="5" width="23.33203125" customWidth="1"/>
    <col min="6" max="6" width="14.6640625" customWidth="1"/>
    <col min="7" max="7" width="17.33203125" customWidth="1"/>
    <col min="8" max="8" width="20.6640625" customWidth="1"/>
    <col min="9" max="10" width="13.33203125" customWidth="1"/>
  </cols>
  <sheetData>
    <row r="1" spans="1:9" x14ac:dyDescent="0.3">
      <c r="A1" s="5" t="s">
        <v>37</v>
      </c>
    </row>
    <row r="2" spans="1:9" x14ac:dyDescent="0.3">
      <c r="A2" s="57" t="s">
        <v>27</v>
      </c>
      <c r="B2" s="57"/>
      <c r="C2" s="57"/>
      <c r="D2" s="57"/>
    </row>
    <row r="3" spans="1:9" x14ac:dyDescent="0.3">
      <c r="A3" t="s">
        <v>96</v>
      </c>
      <c r="E3" s="186" t="s">
        <v>371</v>
      </c>
      <c r="F3" s="187"/>
      <c r="G3" s="187"/>
    </row>
    <row r="4" spans="1:9" x14ac:dyDescent="0.3">
      <c r="A4" t="s">
        <v>273</v>
      </c>
    </row>
    <row r="5" spans="1:9" x14ac:dyDescent="0.3">
      <c r="A5" s="162" t="s">
        <v>274</v>
      </c>
    </row>
    <row r="6" spans="1:9" s="5" customFormat="1" x14ac:dyDescent="0.3">
      <c r="A6" s="88" t="s">
        <v>44</v>
      </c>
      <c r="B6" s="88"/>
    </row>
    <row r="7" spans="1:9" s="5" customFormat="1" x14ac:dyDescent="0.3">
      <c r="A7" s="5" t="s">
        <v>69</v>
      </c>
    </row>
    <row r="8" spans="1:9" s="5" customFormat="1" x14ac:dyDescent="0.3">
      <c r="A8" s="5" t="s">
        <v>70</v>
      </c>
    </row>
    <row r="9" spans="1:9" s="5" customFormat="1" x14ac:dyDescent="0.3">
      <c r="A9" s="5" t="s">
        <v>328</v>
      </c>
    </row>
    <row r="11" spans="1:9" ht="57.6" x14ac:dyDescent="0.3">
      <c r="A11" s="62" t="s">
        <v>285</v>
      </c>
      <c r="B11" s="62" t="s">
        <v>334</v>
      </c>
      <c r="C11" s="62" t="s">
        <v>97</v>
      </c>
      <c r="D11" s="62" t="s">
        <v>98</v>
      </c>
      <c r="E11" s="62" t="s">
        <v>292</v>
      </c>
      <c r="F11" s="62" t="s">
        <v>335</v>
      </c>
      <c r="G11" s="62" t="s">
        <v>293</v>
      </c>
      <c r="H11" s="35" t="s">
        <v>297</v>
      </c>
      <c r="I11" s="35" t="s">
        <v>296</v>
      </c>
    </row>
    <row r="12" spans="1:9" x14ac:dyDescent="0.3">
      <c r="A12" s="85" t="s">
        <v>46</v>
      </c>
      <c r="B12" s="85"/>
      <c r="C12" s="7" t="str">
        <f>VLOOKUP(A12,ReferenceLists!$A$1:$J$67,2,FALSE)</f>
        <v># of Persons Per Household (2014-2018 Average)</v>
      </c>
      <c r="D12" s="7">
        <v>70</v>
      </c>
      <c r="E12" s="168">
        <v>0.15</v>
      </c>
      <c r="F12" s="82">
        <v>9.0120000000000005</v>
      </c>
      <c r="G12" s="168">
        <v>0.5</v>
      </c>
      <c r="H12" s="125" t="e">
        <f>B12*C12*F12*G12</f>
        <v>#VALUE!</v>
      </c>
      <c r="I12" s="125" t="e">
        <f>C12*B12*D12*E12*365</f>
        <v>#VALUE!</v>
      </c>
    </row>
  </sheetData>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6B07BF83-AFA8-4612-944E-960BDBB1DC15}">
          <x14:formula1>
            <xm:f>ReferenceLists!$A$1:$A$67</xm:f>
          </x14:formula1>
          <xm:sqref>A12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ED6D-790A-413F-AC59-A86FE30167AF}">
  <sheetPr codeName="Sheet7">
    <tabColor theme="0" tint="-0.499984740745262"/>
  </sheetPr>
  <dimension ref="A1:W105"/>
  <sheetViews>
    <sheetView zoomScaleNormal="100" workbookViewId="0">
      <selection activeCell="D83" sqref="D83"/>
    </sheetView>
  </sheetViews>
  <sheetFormatPr defaultColWidth="23.88671875" defaultRowHeight="14.4" x14ac:dyDescent="0.3"/>
  <cols>
    <col min="2" max="9" width="14" customWidth="1"/>
    <col min="10" max="10" width="42.5546875" customWidth="1"/>
    <col min="11" max="14" width="8.44140625" customWidth="1"/>
    <col min="15" max="15" width="37.88671875" customWidth="1"/>
    <col min="16" max="16" width="31.33203125" customWidth="1"/>
    <col min="17" max="17" width="12" customWidth="1"/>
    <col min="18" max="18" width="72.44140625" customWidth="1"/>
  </cols>
  <sheetData>
    <row r="1" spans="1:18" ht="53.4" x14ac:dyDescent="0.3">
      <c r="A1" s="33" t="s">
        <v>46</v>
      </c>
      <c r="B1" s="34" t="s">
        <v>99</v>
      </c>
      <c r="C1" s="34" t="s">
        <v>100</v>
      </c>
      <c r="D1" s="34" t="s">
        <v>73</v>
      </c>
      <c r="E1" s="34" t="s">
        <v>45</v>
      </c>
      <c r="F1" s="34" t="s">
        <v>101</v>
      </c>
      <c r="G1" s="34" t="s">
        <v>102</v>
      </c>
      <c r="H1" s="34" t="s">
        <v>103</v>
      </c>
      <c r="I1" s="34" t="s">
        <v>74</v>
      </c>
      <c r="J1" s="33" t="s">
        <v>104</v>
      </c>
      <c r="O1" s="79" t="s">
        <v>83</v>
      </c>
      <c r="P1" s="79" t="s">
        <v>105</v>
      </c>
      <c r="Q1" s="80" t="s">
        <v>102</v>
      </c>
      <c r="R1" s="80" t="s">
        <v>106</v>
      </c>
    </row>
    <row r="2" spans="1:18" ht="15" customHeight="1" x14ac:dyDescent="0.3">
      <c r="A2" t="s">
        <v>107</v>
      </c>
      <c r="B2" s="7">
        <v>2.54</v>
      </c>
      <c r="C2" s="7">
        <v>1</v>
      </c>
      <c r="D2" s="7">
        <v>0.9</v>
      </c>
      <c r="E2" s="8">
        <v>0.5</v>
      </c>
      <c r="F2" s="8">
        <v>0.1</v>
      </c>
      <c r="G2" s="8">
        <v>0.5</v>
      </c>
      <c r="H2" s="8">
        <v>0.65</v>
      </c>
      <c r="I2" s="8">
        <v>0.95</v>
      </c>
      <c r="J2" s="7" t="s">
        <v>108</v>
      </c>
      <c r="O2" s="81" t="s">
        <v>85</v>
      </c>
      <c r="P2" s="81" t="s">
        <v>109</v>
      </c>
      <c r="Q2" s="7">
        <v>0.42899999999999999</v>
      </c>
      <c r="R2" s="78" t="s">
        <v>110</v>
      </c>
    </row>
    <row r="3" spans="1:18" ht="15" customHeight="1" x14ac:dyDescent="0.3">
      <c r="A3" t="s">
        <v>111</v>
      </c>
      <c r="B3" s="7">
        <v>2.92</v>
      </c>
      <c r="C3" s="7">
        <v>1</v>
      </c>
      <c r="D3" s="7">
        <v>0.9</v>
      </c>
      <c r="E3" s="8">
        <v>0.5</v>
      </c>
      <c r="F3" s="8">
        <v>0.1</v>
      </c>
      <c r="G3" s="8">
        <v>0.5</v>
      </c>
      <c r="H3" s="8">
        <v>0.65</v>
      </c>
      <c r="I3" s="8">
        <v>0.95</v>
      </c>
      <c r="J3" s="7" t="s">
        <v>112</v>
      </c>
    </row>
    <row r="4" spans="1:18" x14ac:dyDescent="0.3">
      <c r="A4" t="s">
        <v>113</v>
      </c>
      <c r="B4" s="7">
        <v>2.57</v>
      </c>
      <c r="C4" s="7">
        <v>1</v>
      </c>
      <c r="D4" s="7">
        <v>0.9</v>
      </c>
      <c r="E4" s="8">
        <v>0.5</v>
      </c>
      <c r="F4" s="8">
        <v>0.1</v>
      </c>
      <c r="G4" s="8">
        <v>0.5</v>
      </c>
      <c r="H4" s="8">
        <v>0.65</v>
      </c>
      <c r="I4" s="8">
        <v>0.95</v>
      </c>
      <c r="J4" s="7"/>
      <c r="P4" s="70"/>
    </row>
    <row r="5" spans="1:18" x14ac:dyDescent="0.3">
      <c r="A5" t="s">
        <v>114</v>
      </c>
      <c r="B5" s="7">
        <v>2.6</v>
      </c>
      <c r="C5" s="7">
        <v>1</v>
      </c>
      <c r="D5" s="7">
        <v>0.9</v>
      </c>
      <c r="E5" s="8">
        <v>0.5</v>
      </c>
      <c r="F5" s="8">
        <v>0.1</v>
      </c>
      <c r="G5" s="8">
        <v>0.5</v>
      </c>
      <c r="H5" s="8">
        <v>0.65</v>
      </c>
      <c r="I5" s="8">
        <v>0.95</v>
      </c>
      <c r="J5" s="7"/>
      <c r="P5" s="70"/>
    </row>
    <row r="6" spans="1:18" x14ac:dyDescent="0.3">
      <c r="A6" t="s">
        <v>115</v>
      </c>
      <c r="B6" s="7">
        <v>2.4900000000000002</v>
      </c>
      <c r="C6" s="7">
        <v>1</v>
      </c>
      <c r="D6" s="7">
        <v>0.9</v>
      </c>
      <c r="E6" s="8">
        <v>0.5</v>
      </c>
      <c r="F6" s="8">
        <v>0.1</v>
      </c>
      <c r="G6" s="8">
        <v>0.5</v>
      </c>
      <c r="H6" s="8">
        <v>0.65</v>
      </c>
      <c r="I6" s="8">
        <v>0.95</v>
      </c>
      <c r="J6" s="7"/>
      <c r="P6" s="70"/>
    </row>
    <row r="7" spans="1:18" x14ac:dyDescent="0.3">
      <c r="A7" t="s">
        <v>116</v>
      </c>
      <c r="B7" s="7">
        <v>2.77</v>
      </c>
      <c r="C7" s="7">
        <v>1</v>
      </c>
      <c r="D7" s="7">
        <v>0.9</v>
      </c>
      <c r="E7" s="8">
        <v>0.5</v>
      </c>
      <c r="F7" s="8">
        <v>0.1</v>
      </c>
      <c r="G7" s="8">
        <v>0.5</v>
      </c>
      <c r="H7" s="8">
        <v>0.65</v>
      </c>
      <c r="I7" s="8">
        <v>0.95</v>
      </c>
      <c r="J7" s="7"/>
    </row>
    <row r="8" spans="1:18" x14ac:dyDescent="0.3">
      <c r="A8" t="s">
        <v>117</v>
      </c>
      <c r="B8" s="7">
        <v>2.73</v>
      </c>
      <c r="C8" s="7">
        <v>1</v>
      </c>
      <c r="D8" s="7">
        <v>0.9</v>
      </c>
      <c r="E8" s="8">
        <v>0.5</v>
      </c>
      <c r="F8" s="8">
        <v>0.1</v>
      </c>
      <c r="G8" s="8">
        <v>0.5</v>
      </c>
      <c r="H8" s="8">
        <v>0.65</v>
      </c>
      <c r="I8" s="8">
        <v>0.95</v>
      </c>
      <c r="J8" s="7"/>
    </row>
    <row r="9" spans="1:18" x14ac:dyDescent="0.3">
      <c r="A9" t="s">
        <v>118</v>
      </c>
      <c r="B9" s="7">
        <v>2.2799999999999998</v>
      </c>
      <c r="C9" s="7">
        <v>1</v>
      </c>
      <c r="D9" s="7">
        <v>0.9</v>
      </c>
      <c r="E9" s="8">
        <v>0.5</v>
      </c>
      <c r="F9" s="8">
        <v>0.1</v>
      </c>
      <c r="G9" s="8">
        <v>0.5</v>
      </c>
      <c r="H9" s="8">
        <v>0.65</v>
      </c>
      <c r="I9" s="8">
        <v>0.95</v>
      </c>
      <c r="J9" s="7"/>
    </row>
    <row r="10" spans="1:18" x14ac:dyDescent="0.3">
      <c r="A10" t="s">
        <v>119</v>
      </c>
      <c r="B10" s="7">
        <v>2.2400000000000002</v>
      </c>
      <c r="C10" s="7">
        <v>1</v>
      </c>
      <c r="D10" s="7">
        <v>0.9</v>
      </c>
      <c r="E10" s="8">
        <v>0.5</v>
      </c>
      <c r="F10" s="8">
        <v>0.1</v>
      </c>
      <c r="G10" s="8">
        <v>0.5</v>
      </c>
      <c r="H10" s="8">
        <v>0.65</v>
      </c>
      <c r="I10" s="8">
        <v>0.95</v>
      </c>
      <c r="J10" s="7" t="s">
        <v>120</v>
      </c>
    </row>
    <row r="11" spans="1:18" x14ac:dyDescent="0.3">
      <c r="A11" t="s">
        <v>121</v>
      </c>
      <c r="B11" s="7">
        <v>2.81</v>
      </c>
      <c r="C11" s="7">
        <v>1</v>
      </c>
      <c r="D11" s="7">
        <v>0.9</v>
      </c>
      <c r="E11" s="8">
        <v>0.5</v>
      </c>
      <c r="F11" s="8">
        <v>0.1</v>
      </c>
      <c r="G11" s="8">
        <v>0.5</v>
      </c>
      <c r="H11" s="8">
        <v>0.65</v>
      </c>
      <c r="I11" s="8">
        <v>0.95</v>
      </c>
      <c r="J11" s="7"/>
      <c r="O11" s="79" t="s">
        <v>122</v>
      </c>
      <c r="P11" s="79" t="s">
        <v>336</v>
      </c>
      <c r="Q11" s="89"/>
    </row>
    <row r="12" spans="1:18" x14ac:dyDescent="0.3">
      <c r="A12" t="s">
        <v>123</v>
      </c>
      <c r="B12" s="7">
        <v>2.5499999999999998</v>
      </c>
      <c r="C12" s="7">
        <v>1</v>
      </c>
      <c r="D12" s="7">
        <v>0.9</v>
      </c>
      <c r="E12" s="8">
        <v>0.5</v>
      </c>
      <c r="F12" s="8">
        <v>0.1</v>
      </c>
      <c r="G12" s="8">
        <v>0.5</v>
      </c>
      <c r="H12" s="8">
        <v>0.65</v>
      </c>
      <c r="I12" s="8">
        <v>0.95</v>
      </c>
      <c r="J12" s="7"/>
      <c r="O12" s="81" t="s">
        <v>92</v>
      </c>
      <c r="P12" s="8">
        <v>4.9000000000000002E-2</v>
      </c>
      <c r="Q12" s="76"/>
      <c r="R12" t="s">
        <v>294</v>
      </c>
    </row>
    <row r="13" spans="1:18" x14ac:dyDescent="0.3">
      <c r="A13" t="s">
        <v>124</v>
      </c>
      <c r="B13" s="7">
        <v>2.57</v>
      </c>
      <c r="C13" s="7">
        <v>1</v>
      </c>
      <c r="D13" s="7">
        <v>0.9</v>
      </c>
      <c r="E13" s="8">
        <v>0.5</v>
      </c>
      <c r="F13" s="8">
        <v>0.1</v>
      </c>
      <c r="G13" s="8">
        <v>0.5</v>
      </c>
      <c r="H13" s="8">
        <v>0.65</v>
      </c>
      <c r="I13" s="8">
        <v>0.95</v>
      </c>
      <c r="J13" s="7" t="s">
        <v>112</v>
      </c>
      <c r="O13" s="81" t="s">
        <v>125</v>
      </c>
      <c r="P13" s="8">
        <v>0.16400000000000001</v>
      </c>
      <c r="Q13" s="76"/>
      <c r="R13" t="s">
        <v>295</v>
      </c>
    </row>
    <row r="14" spans="1:18" x14ac:dyDescent="0.3">
      <c r="A14" t="s">
        <v>126</v>
      </c>
      <c r="B14" s="7">
        <v>2.74</v>
      </c>
      <c r="C14" s="7">
        <v>1</v>
      </c>
      <c r="D14" s="7">
        <v>0.9</v>
      </c>
      <c r="E14" s="8">
        <v>0.5</v>
      </c>
      <c r="F14" s="8">
        <v>0.1</v>
      </c>
      <c r="G14" s="8">
        <v>0.5</v>
      </c>
      <c r="H14" s="8">
        <v>0.65</v>
      </c>
      <c r="I14" s="8">
        <v>0.95</v>
      </c>
      <c r="J14" s="7"/>
      <c r="O14" s="81" t="s">
        <v>127</v>
      </c>
      <c r="P14" s="8" t="s">
        <v>128</v>
      </c>
      <c r="Q14" s="76"/>
    </row>
    <row r="15" spans="1:18" x14ac:dyDescent="0.3">
      <c r="A15" t="s">
        <v>129</v>
      </c>
      <c r="B15" s="7">
        <v>2.2799999999999998</v>
      </c>
      <c r="C15" s="7">
        <v>1</v>
      </c>
      <c r="D15" s="7">
        <v>0.9</v>
      </c>
      <c r="E15" s="8">
        <v>0.5</v>
      </c>
      <c r="F15" s="8">
        <v>0.1</v>
      </c>
      <c r="G15" s="8">
        <v>0.5</v>
      </c>
      <c r="H15" s="8">
        <v>0.65</v>
      </c>
      <c r="I15" s="8">
        <v>0.95</v>
      </c>
      <c r="J15" s="7"/>
      <c r="O15" s="81" t="s">
        <v>130</v>
      </c>
      <c r="P15" s="8" t="s">
        <v>131</v>
      </c>
      <c r="Q15" s="76"/>
    </row>
    <row r="16" spans="1:18" x14ac:dyDescent="0.3">
      <c r="A16" t="s">
        <v>132</v>
      </c>
      <c r="B16" s="7">
        <v>2.5499999999999998</v>
      </c>
      <c r="C16" s="7">
        <v>1</v>
      </c>
      <c r="D16" s="7">
        <v>0.9</v>
      </c>
      <c r="E16" s="8">
        <v>0.5</v>
      </c>
      <c r="F16" s="8">
        <v>0.1</v>
      </c>
      <c r="G16" s="8">
        <v>0.5</v>
      </c>
      <c r="H16" s="8">
        <v>0.65</v>
      </c>
      <c r="I16" s="8">
        <v>0.95</v>
      </c>
      <c r="J16" s="7"/>
      <c r="O16" s="81" t="s">
        <v>133</v>
      </c>
      <c r="P16" s="8" t="s">
        <v>134</v>
      </c>
      <c r="Q16" s="76"/>
    </row>
    <row r="17" spans="1:17" x14ac:dyDescent="0.3">
      <c r="A17" t="s">
        <v>135</v>
      </c>
      <c r="B17" s="7">
        <v>2.4700000000000002</v>
      </c>
      <c r="C17" s="7">
        <v>1</v>
      </c>
      <c r="D17" s="7">
        <v>0.9</v>
      </c>
      <c r="E17" s="8">
        <v>0.5</v>
      </c>
      <c r="F17" s="8">
        <v>0.1</v>
      </c>
      <c r="G17" s="8">
        <v>0.5</v>
      </c>
      <c r="H17" s="8">
        <v>0.65</v>
      </c>
      <c r="I17" s="8">
        <v>0.95</v>
      </c>
      <c r="J17" s="7"/>
      <c r="O17" s="81" t="s">
        <v>136</v>
      </c>
      <c r="P17" s="8" t="s">
        <v>137</v>
      </c>
      <c r="Q17" s="76"/>
    </row>
    <row r="18" spans="1:17" x14ac:dyDescent="0.3">
      <c r="A18" t="s">
        <v>138</v>
      </c>
      <c r="B18" s="7">
        <v>2.62</v>
      </c>
      <c r="C18" s="7">
        <v>1</v>
      </c>
      <c r="D18" s="7">
        <v>0.9</v>
      </c>
      <c r="E18" s="8">
        <v>0.5</v>
      </c>
      <c r="F18" s="8">
        <v>0.1</v>
      </c>
      <c r="G18" s="8">
        <v>0.5</v>
      </c>
      <c r="H18" s="8">
        <v>0.65</v>
      </c>
      <c r="I18" s="8">
        <v>0.95</v>
      </c>
      <c r="J18" s="7"/>
      <c r="O18" s="81" t="s">
        <v>139</v>
      </c>
      <c r="P18" s="8" t="s">
        <v>140</v>
      </c>
      <c r="Q18" s="76"/>
    </row>
    <row r="19" spans="1:17" x14ac:dyDescent="0.3">
      <c r="A19" t="s">
        <v>141</v>
      </c>
      <c r="B19" s="7">
        <v>2.35</v>
      </c>
      <c r="C19" s="7">
        <v>1</v>
      </c>
      <c r="D19" s="7">
        <v>0.9</v>
      </c>
      <c r="E19" s="8">
        <v>0.5</v>
      </c>
      <c r="F19" s="8">
        <v>0.1</v>
      </c>
      <c r="G19" s="8">
        <v>0.5</v>
      </c>
      <c r="H19" s="8">
        <v>0.65</v>
      </c>
      <c r="I19" s="8">
        <v>0.95</v>
      </c>
      <c r="J19" s="7"/>
      <c r="O19" s="81" t="s">
        <v>142</v>
      </c>
      <c r="P19" s="8" t="s">
        <v>140</v>
      </c>
      <c r="Q19" s="76"/>
    </row>
    <row r="20" spans="1:17" x14ac:dyDescent="0.3">
      <c r="A20" t="s">
        <v>143</v>
      </c>
      <c r="B20" s="7">
        <v>2.4700000000000002</v>
      </c>
      <c r="C20" s="7">
        <v>1</v>
      </c>
      <c r="D20" s="7">
        <v>0.9</v>
      </c>
      <c r="E20" s="8">
        <v>0.4</v>
      </c>
      <c r="F20" s="8">
        <v>0.1</v>
      </c>
      <c r="G20" s="8">
        <v>0.5</v>
      </c>
      <c r="H20" s="8">
        <v>0.65</v>
      </c>
      <c r="I20" s="8">
        <v>0.95</v>
      </c>
      <c r="J20" s="7" t="s">
        <v>144</v>
      </c>
      <c r="O20" s="81" t="s">
        <v>145</v>
      </c>
      <c r="P20" s="8" t="s">
        <v>146</v>
      </c>
      <c r="Q20" s="76"/>
    </row>
    <row r="21" spans="1:17" x14ac:dyDescent="0.3">
      <c r="A21" t="s">
        <v>147</v>
      </c>
      <c r="B21" s="7">
        <v>2.5</v>
      </c>
      <c r="C21" s="7">
        <v>1</v>
      </c>
      <c r="D21" s="7">
        <v>0.9</v>
      </c>
      <c r="E21" s="8">
        <v>0.5</v>
      </c>
      <c r="F21" s="8">
        <v>0.1</v>
      </c>
      <c r="G21" s="8">
        <v>0.5</v>
      </c>
      <c r="H21" s="8">
        <v>0.65</v>
      </c>
      <c r="I21" s="8">
        <v>0.95</v>
      </c>
      <c r="J21" s="7" t="s">
        <v>112</v>
      </c>
    </row>
    <row r="22" spans="1:17" x14ac:dyDescent="0.3">
      <c r="A22" t="s">
        <v>148</v>
      </c>
      <c r="B22" s="7">
        <v>2.71</v>
      </c>
      <c r="C22" s="7">
        <v>1</v>
      </c>
      <c r="D22" s="7">
        <v>0.9</v>
      </c>
      <c r="E22" s="8">
        <v>0.5</v>
      </c>
      <c r="F22" s="8">
        <v>0.1</v>
      </c>
      <c r="G22" s="8">
        <v>0.5</v>
      </c>
      <c r="H22" s="8">
        <v>0.65</v>
      </c>
      <c r="I22" s="8">
        <v>0.95</v>
      </c>
      <c r="J22" s="7"/>
    </row>
    <row r="23" spans="1:17" x14ac:dyDescent="0.3">
      <c r="A23" t="s">
        <v>149</v>
      </c>
      <c r="B23" s="7">
        <v>2.5499999999999998</v>
      </c>
      <c r="C23" s="7">
        <v>1</v>
      </c>
      <c r="D23" s="7">
        <v>0.9</v>
      </c>
      <c r="E23" s="8">
        <v>0.5</v>
      </c>
      <c r="F23" s="8">
        <v>0.1</v>
      </c>
      <c r="G23" s="8">
        <v>0.5</v>
      </c>
      <c r="H23" s="8">
        <v>0.65</v>
      </c>
      <c r="I23" s="8">
        <v>0.95</v>
      </c>
      <c r="J23" s="7"/>
    </row>
    <row r="24" spans="1:17" x14ac:dyDescent="0.3">
      <c r="A24" t="s">
        <v>150</v>
      </c>
      <c r="B24" s="7">
        <v>2.44</v>
      </c>
      <c r="C24" s="7">
        <v>1</v>
      </c>
      <c r="D24" s="7">
        <v>0.9</v>
      </c>
      <c r="E24" s="8">
        <v>0.5</v>
      </c>
      <c r="F24" s="8">
        <v>0.1</v>
      </c>
      <c r="G24" s="8">
        <v>0.5</v>
      </c>
      <c r="H24" s="8">
        <v>0.65</v>
      </c>
      <c r="I24" s="8">
        <v>0.95</v>
      </c>
      <c r="J24" s="7"/>
    </row>
    <row r="25" spans="1:17" x14ac:dyDescent="0.3">
      <c r="A25" t="s">
        <v>151</v>
      </c>
      <c r="B25" s="7">
        <v>3.22</v>
      </c>
      <c r="C25" s="7">
        <v>1</v>
      </c>
      <c r="D25" s="7">
        <v>0.9</v>
      </c>
      <c r="E25" s="8">
        <v>0.5</v>
      </c>
      <c r="F25" s="8">
        <v>0.1</v>
      </c>
      <c r="G25" s="8">
        <v>0.5</v>
      </c>
      <c r="H25" s="8">
        <v>0.65</v>
      </c>
      <c r="I25" s="8">
        <v>0.95</v>
      </c>
      <c r="J25" s="7"/>
    </row>
    <row r="26" spans="1:17" x14ac:dyDescent="0.3">
      <c r="A26" t="s">
        <v>152</v>
      </c>
      <c r="B26" s="7">
        <v>3.17</v>
      </c>
      <c r="C26" s="7">
        <v>1</v>
      </c>
      <c r="D26" s="7">
        <v>0.9</v>
      </c>
      <c r="E26" s="8">
        <v>0.5</v>
      </c>
      <c r="F26" s="8">
        <v>0.1</v>
      </c>
      <c r="G26" s="8">
        <v>0.5</v>
      </c>
      <c r="H26" s="8">
        <v>0.65</v>
      </c>
      <c r="I26" s="8">
        <v>0.95</v>
      </c>
      <c r="J26" s="7"/>
    </row>
    <row r="27" spans="1:17" ht="28.5" customHeight="1" x14ac:dyDescent="0.3">
      <c r="A27" t="s">
        <v>153</v>
      </c>
      <c r="B27" s="7">
        <v>2.46</v>
      </c>
      <c r="C27" s="7">
        <v>1</v>
      </c>
      <c r="D27" s="7">
        <v>0.9</v>
      </c>
      <c r="E27" s="8">
        <v>0.5</v>
      </c>
      <c r="F27" s="8">
        <v>0.1</v>
      </c>
      <c r="G27" s="8">
        <v>0.5</v>
      </c>
      <c r="H27" s="8">
        <v>0.65</v>
      </c>
      <c r="I27" s="8">
        <v>0.95</v>
      </c>
      <c r="J27" s="7" t="s">
        <v>154</v>
      </c>
      <c r="O27" s="123" t="s">
        <v>155</v>
      </c>
      <c r="P27" s="79" t="s">
        <v>156</v>
      </c>
    </row>
    <row r="28" spans="1:17" x14ac:dyDescent="0.3">
      <c r="A28" t="s">
        <v>157</v>
      </c>
      <c r="B28" s="7">
        <v>2.44</v>
      </c>
      <c r="C28" s="7">
        <v>1</v>
      </c>
      <c r="D28" s="7">
        <v>0.9</v>
      </c>
      <c r="E28" s="8">
        <v>0.5</v>
      </c>
      <c r="F28" s="8">
        <v>0.1</v>
      </c>
      <c r="G28" s="8">
        <v>0.5</v>
      </c>
      <c r="H28" s="8">
        <v>0.65</v>
      </c>
      <c r="I28" s="8">
        <v>0.95</v>
      </c>
      <c r="J28" s="7"/>
      <c r="O28" s="81" t="s">
        <v>95</v>
      </c>
      <c r="P28" s="8">
        <v>0.7</v>
      </c>
    </row>
    <row r="29" spans="1:17" x14ac:dyDescent="0.3">
      <c r="A29" t="s">
        <v>158</v>
      </c>
      <c r="B29" s="7">
        <v>2.63</v>
      </c>
      <c r="C29" s="7">
        <v>1</v>
      </c>
      <c r="D29" s="7">
        <v>0.9</v>
      </c>
      <c r="E29" s="8">
        <v>0.5</v>
      </c>
      <c r="F29" s="8">
        <v>0.1</v>
      </c>
      <c r="G29" s="8">
        <v>0.5</v>
      </c>
      <c r="H29" s="8">
        <v>0.65</v>
      </c>
      <c r="I29" s="8">
        <v>0.95</v>
      </c>
      <c r="J29" s="7"/>
      <c r="O29" s="81" t="s">
        <v>159</v>
      </c>
      <c r="P29" s="8">
        <v>0.49</v>
      </c>
    </row>
    <row r="30" spans="1:17" x14ac:dyDescent="0.3">
      <c r="A30" t="s">
        <v>160</v>
      </c>
      <c r="B30" s="7">
        <v>2.5099999999999998</v>
      </c>
      <c r="C30" s="7">
        <v>1</v>
      </c>
      <c r="D30" s="7">
        <v>0.9</v>
      </c>
      <c r="E30" s="8">
        <v>0.5</v>
      </c>
      <c r="F30" s="8">
        <v>0.1</v>
      </c>
      <c r="G30" s="8">
        <v>0.5</v>
      </c>
      <c r="H30" s="8">
        <v>0.65</v>
      </c>
      <c r="I30" s="8">
        <v>0.95</v>
      </c>
      <c r="J30" s="7"/>
      <c r="O30" s="81" t="s">
        <v>161</v>
      </c>
      <c r="P30" s="8">
        <v>0.35</v>
      </c>
    </row>
    <row r="31" spans="1:17" x14ac:dyDescent="0.3">
      <c r="A31" t="s">
        <v>162</v>
      </c>
      <c r="B31" s="7">
        <v>2.6</v>
      </c>
      <c r="C31" s="7">
        <v>1</v>
      </c>
      <c r="D31" s="7">
        <v>0.9</v>
      </c>
      <c r="E31" s="8">
        <v>0.5</v>
      </c>
      <c r="F31" s="8">
        <v>0.1</v>
      </c>
      <c r="G31" s="8">
        <v>0.5</v>
      </c>
      <c r="H31" s="8">
        <v>0.65</v>
      </c>
      <c r="I31" s="8">
        <v>0.95</v>
      </c>
      <c r="J31" s="7"/>
      <c r="O31" s="81" t="s">
        <v>163</v>
      </c>
      <c r="P31" s="8">
        <v>0.35</v>
      </c>
    </row>
    <row r="32" spans="1:17" x14ac:dyDescent="0.3">
      <c r="A32" t="s">
        <v>164</v>
      </c>
      <c r="B32" s="7">
        <v>2.4</v>
      </c>
      <c r="C32" s="7">
        <v>1</v>
      </c>
      <c r="D32" s="7">
        <v>0.9</v>
      </c>
      <c r="E32" s="8">
        <v>0.5</v>
      </c>
      <c r="F32" s="8">
        <v>0.1</v>
      </c>
      <c r="G32" s="8">
        <v>0.5</v>
      </c>
      <c r="H32" s="8">
        <v>0.65</v>
      </c>
      <c r="I32" s="8">
        <v>0.95</v>
      </c>
      <c r="J32" s="7" t="s">
        <v>165</v>
      </c>
      <c r="O32" s="81" t="s">
        <v>166</v>
      </c>
      <c r="P32" s="8">
        <v>0.35</v>
      </c>
    </row>
    <row r="33" spans="1:16" x14ac:dyDescent="0.3">
      <c r="A33" t="s">
        <v>167</v>
      </c>
      <c r="B33" s="7">
        <v>2.04</v>
      </c>
      <c r="C33" s="7">
        <v>1</v>
      </c>
      <c r="D33" s="7">
        <v>0.9</v>
      </c>
      <c r="E33" s="8">
        <v>0.5</v>
      </c>
      <c r="F33" s="8">
        <v>0.1</v>
      </c>
      <c r="G33" s="8">
        <v>0.5</v>
      </c>
      <c r="H33" s="8">
        <v>0.65</v>
      </c>
      <c r="I33" s="8">
        <v>0.95</v>
      </c>
      <c r="J33" s="7" t="s">
        <v>168</v>
      </c>
      <c r="O33" s="81" t="s">
        <v>169</v>
      </c>
      <c r="P33" s="8">
        <v>7.0000000000000007E-2</v>
      </c>
    </row>
    <row r="34" spans="1:16" x14ac:dyDescent="0.3">
      <c r="A34" t="s">
        <v>170</v>
      </c>
      <c r="B34" s="7">
        <v>3.43</v>
      </c>
      <c r="C34" s="7">
        <v>1</v>
      </c>
      <c r="D34" s="7">
        <v>0.9</v>
      </c>
      <c r="E34" s="8">
        <v>0.5</v>
      </c>
      <c r="F34" s="8">
        <v>0.1</v>
      </c>
      <c r="G34" s="8">
        <v>0.5</v>
      </c>
      <c r="H34" s="8">
        <v>0.65</v>
      </c>
      <c r="I34" s="8">
        <v>0.95</v>
      </c>
      <c r="J34" s="7"/>
    </row>
    <row r="35" spans="1:16" x14ac:dyDescent="0.3">
      <c r="A35" t="s">
        <v>171</v>
      </c>
      <c r="B35" s="7">
        <v>2.5499999999999998</v>
      </c>
      <c r="C35" s="7">
        <v>1</v>
      </c>
      <c r="D35" s="7">
        <v>0.9</v>
      </c>
      <c r="E35" s="8">
        <v>0.5</v>
      </c>
      <c r="F35" s="8">
        <v>0.1</v>
      </c>
      <c r="G35" s="8">
        <v>0.5</v>
      </c>
      <c r="H35" s="8">
        <v>0.65</v>
      </c>
      <c r="I35" s="8">
        <v>0.95</v>
      </c>
      <c r="J35" s="7" t="s">
        <v>172</v>
      </c>
    </row>
    <row r="36" spans="1:16" x14ac:dyDescent="0.3">
      <c r="A36" t="s">
        <v>173</v>
      </c>
      <c r="B36" s="7">
        <v>2.61</v>
      </c>
      <c r="C36" s="7">
        <v>1</v>
      </c>
      <c r="D36" s="7">
        <v>0.9</v>
      </c>
      <c r="E36" s="8">
        <v>0.5</v>
      </c>
      <c r="F36" s="8">
        <v>0.1</v>
      </c>
      <c r="G36" s="8">
        <v>0.5</v>
      </c>
      <c r="H36" s="8">
        <v>0.65</v>
      </c>
      <c r="I36" s="8">
        <v>0.95</v>
      </c>
      <c r="J36" s="7"/>
    </row>
    <row r="37" spans="1:16" x14ac:dyDescent="0.3">
      <c r="A37" t="s">
        <v>174</v>
      </c>
      <c r="B37" s="7">
        <v>2.4300000000000002</v>
      </c>
      <c r="C37" s="7">
        <v>1</v>
      </c>
      <c r="D37" s="7">
        <v>0.9</v>
      </c>
      <c r="E37" s="8">
        <v>0.4</v>
      </c>
      <c r="F37" s="8">
        <v>0.1</v>
      </c>
      <c r="G37" s="8">
        <v>0.5</v>
      </c>
      <c r="H37" s="8">
        <v>0.65</v>
      </c>
      <c r="I37" s="8">
        <v>0.95</v>
      </c>
      <c r="J37" s="7" t="s">
        <v>144</v>
      </c>
    </row>
    <row r="38" spans="1:16" x14ac:dyDescent="0.3">
      <c r="A38" t="s">
        <v>175</v>
      </c>
      <c r="B38" s="7">
        <v>2.41</v>
      </c>
      <c r="C38" s="7">
        <v>1</v>
      </c>
      <c r="D38" s="7">
        <v>0.9</v>
      </c>
      <c r="E38" s="8">
        <v>0.5</v>
      </c>
      <c r="F38" s="8">
        <v>0.1</v>
      </c>
      <c r="G38" s="8">
        <v>0.5</v>
      </c>
      <c r="H38" s="8">
        <v>0.65</v>
      </c>
      <c r="I38" s="8">
        <v>0.95</v>
      </c>
      <c r="J38" s="7" t="s">
        <v>176</v>
      </c>
    </row>
    <row r="39" spans="1:16" x14ac:dyDescent="0.3">
      <c r="A39" t="s">
        <v>177</v>
      </c>
      <c r="B39" s="7">
        <v>2.9</v>
      </c>
      <c r="C39" s="7">
        <v>1</v>
      </c>
      <c r="D39" s="7">
        <v>0.9</v>
      </c>
      <c r="E39" s="8">
        <v>0.5</v>
      </c>
      <c r="F39" s="8">
        <v>0.1</v>
      </c>
      <c r="G39" s="8">
        <v>0.5</v>
      </c>
      <c r="H39" s="8">
        <v>0.65</v>
      </c>
      <c r="I39" s="8">
        <v>0.95</v>
      </c>
      <c r="J39" s="7"/>
    </row>
    <row r="40" spans="1:16" x14ac:dyDescent="0.3">
      <c r="A40" t="s">
        <v>178</v>
      </c>
      <c r="B40" s="7">
        <v>2.4500000000000002</v>
      </c>
      <c r="C40" s="7">
        <v>1</v>
      </c>
      <c r="D40" s="7">
        <v>0.9</v>
      </c>
      <c r="E40" s="8">
        <v>0.5</v>
      </c>
      <c r="F40" s="8">
        <v>0.1</v>
      </c>
      <c r="G40" s="8">
        <v>0.5</v>
      </c>
      <c r="H40" s="8">
        <v>0.65</v>
      </c>
      <c r="I40" s="8">
        <v>0.95</v>
      </c>
      <c r="J40" s="7" t="s">
        <v>179</v>
      </c>
    </row>
    <row r="41" spans="1:16" x14ac:dyDescent="0.3">
      <c r="A41" t="s">
        <v>180</v>
      </c>
      <c r="B41" s="7">
        <v>2.57</v>
      </c>
      <c r="C41" s="7">
        <v>1</v>
      </c>
      <c r="D41" s="7">
        <v>0.9</v>
      </c>
      <c r="E41" s="8">
        <v>0.5</v>
      </c>
      <c r="F41" s="8">
        <v>0.1</v>
      </c>
      <c r="G41" s="8">
        <v>0.5</v>
      </c>
      <c r="H41" s="8">
        <v>0.65</v>
      </c>
      <c r="I41" s="8">
        <v>0.95</v>
      </c>
      <c r="J41" s="7"/>
    </row>
    <row r="42" spans="1:16" x14ac:dyDescent="0.3">
      <c r="A42" t="s">
        <v>181</v>
      </c>
      <c r="B42" s="7">
        <v>2.48</v>
      </c>
      <c r="C42" s="7">
        <v>1</v>
      </c>
      <c r="D42" s="7">
        <v>0.9</v>
      </c>
      <c r="E42" s="8">
        <v>0.5</v>
      </c>
      <c r="F42" s="8">
        <v>0.1</v>
      </c>
      <c r="G42" s="8">
        <v>0.5</v>
      </c>
      <c r="H42" s="8">
        <v>0.65</v>
      </c>
      <c r="I42" s="8">
        <v>0.95</v>
      </c>
      <c r="J42" s="7" t="s">
        <v>176</v>
      </c>
    </row>
    <row r="43" spans="1:16" x14ac:dyDescent="0.3">
      <c r="A43" t="s">
        <v>182</v>
      </c>
      <c r="B43" s="7">
        <v>2.41</v>
      </c>
      <c r="C43" s="7">
        <v>1</v>
      </c>
      <c r="D43" s="7">
        <v>0.9</v>
      </c>
      <c r="E43" s="8">
        <v>0.5</v>
      </c>
      <c r="F43" s="8">
        <v>0.1</v>
      </c>
      <c r="G43" s="8">
        <v>0.5</v>
      </c>
      <c r="H43" s="8">
        <v>0.65</v>
      </c>
      <c r="I43" s="8">
        <v>0.95</v>
      </c>
      <c r="J43" s="7"/>
    </row>
    <row r="44" spans="1:16" x14ac:dyDescent="0.3">
      <c r="A44" t="s">
        <v>183</v>
      </c>
      <c r="B44" s="7">
        <v>2.39</v>
      </c>
      <c r="C44" s="7">
        <v>1</v>
      </c>
      <c r="D44" s="7">
        <v>0.9</v>
      </c>
      <c r="E44" s="8">
        <v>0.5</v>
      </c>
      <c r="F44" s="8">
        <v>0.1</v>
      </c>
      <c r="G44" s="8">
        <v>0.5</v>
      </c>
      <c r="H44" s="8">
        <v>0.65</v>
      </c>
      <c r="I44" s="8">
        <v>0.95</v>
      </c>
      <c r="J44" s="7"/>
    </row>
    <row r="45" spans="1:16" x14ac:dyDescent="0.3">
      <c r="A45" t="s">
        <v>184</v>
      </c>
      <c r="B45" s="7">
        <v>2.5499999999999998</v>
      </c>
      <c r="C45" s="7">
        <v>1</v>
      </c>
      <c r="D45" s="7">
        <v>0.9</v>
      </c>
      <c r="E45" s="8">
        <v>0.5</v>
      </c>
      <c r="F45" s="8">
        <v>0.1</v>
      </c>
      <c r="G45" s="8">
        <v>0.5</v>
      </c>
      <c r="H45" s="8">
        <v>0.65</v>
      </c>
      <c r="I45" s="8">
        <v>0.95</v>
      </c>
      <c r="J45" s="7"/>
    </row>
    <row r="46" spans="1:16" x14ac:dyDescent="0.3">
      <c r="A46" t="s">
        <v>185</v>
      </c>
      <c r="B46" s="7">
        <v>2.52</v>
      </c>
      <c r="C46" s="7">
        <v>1</v>
      </c>
      <c r="D46" s="7">
        <v>0.9</v>
      </c>
      <c r="E46" s="8">
        <v>0.5</v>
      </c>
      <c r="F46" s="8">
        <v>0.1</v>
      </c>
      <c r="G46" s="8">
        <v>0.5</v>
      </c>
      <c r="H46" s="8">
        <v>0.65</v>
      </c>
      <c r="I46" s="8">
        <v>0.95</v>
      </c>
      <c r="J46" s="7"/>
    </row>
    <row r="47" spans="1:16" x14ac:dyDescent="0.3">
      <c r="A47" t="s">
        <v>84</v>
      </c>
      <c r="B47" s="7">
        <v>2.73</v>
      </c>
      <c r="C47" s="7">
        <v>1</v>
      </c>
      <c r="D47" s="7">
        <v>0.9</v>
      </c>
      <c r="E47" s="8">
        <v>0.5</v>
      </c>
      <c r="F47" s="8">
        <v>0.1</v>
      </c>
      <c r="G47" s="8">
        <v>0.5</v>
      </c>
      <c r="H47" s="8">
        <v>0.65</v>
      </c>
      <c r="I47" s="8">
        <v>0.95</v>
      </c>
      <c r="J47" s="7"/>
    </row>
    <row r="48" spans="1:16" x14ac:dyDescent="0.3">
      <c r="A48" t="s">
        <v>186</v>
      </c>
      <c r="B48" s="7">
        <v>2.81</v>
      </c>
      <c r="C48" s="7">
        <v>1</v>
      </c>
      <c r="D48" s="7">
        <v>0.9</v>
      </c>
      <c r="E48" s="8">
        <v>0.5</v>
      </c>
      <c r="F48" s="8">
        <v>0.1</v>
      </c>
      <c r="G48" s="8">
        <v>0.5</v>
      </c>
      <c r="H48" s="8">
        <v>0.65</v>
      </c>
      <c r="I48" s="8">
        <v>0.95</v>
      </c>
      <c r="J48" s="7" t="s">
        <v>187</v>
      </c>
    </row>
    <row r="49" spans="1:18" x14ac:dyDescent="0.3">
      <c r="A49" t="s">
        <v>188</v>
      </c>
      <c r="B49" s="7">
        <v>3.4</v>
      </c>
      <c r="C49" s="7">
        <v>1</v>
      </c>
      <c r="D49" s="7">
        <v>0.9</v>
      </c>
      <c r="E49" s="8">
        <v>0.5</v>
      </c>
      <c r="F49" s="8">
        <v>0.1</v>
      </c>
      <c r="G49" s="8">
        <v>0.5</v>
      </c>
      <c r="H49" s="8">
        <v>0.65</v>
      </c>
      <c r="I49" s="8">
        <v>0.95</v>
      </c>
      <c r="J49" s="7"/>
    </row>
    <row r="50" spans="1:18" x14ac:dyDescent="0.3">
      <c r="A50" t="s">
        <v>189</v>
      </c>
      <c r="B50" s="7">
        <v>2.6</v>
      </c>
      <c r="C50" s="7">
        <v>1</v>
      </c>
      <c r="D50" s="7">
        <v>0.9</v>
      </c>
      <c r="E50" s="8">
        <v>0.5</v>
      </c>
      <c r="F50" s="8">
        <v>0.1</v>
      </c>
      <c r="G50" s="8">
        <v>0.5</v>
      </c>
      <c r="H50" s="8">
        <v>0.65</v>
      </c>
      <c r="I50" s="8">
        <v>0.95</v>
      </c>
      <c r="J50" s="7"/>
    </row>
    <row r="51" spans="1:18" x14ac:dyDescent="0.3">
      <c r="A51" t="s">
        <v>190</v>
      </c>
      <c r="B51" s="7">
        <v>2.52</v>
      </c>
      <c r="C51" s="7">
        <v>1</v>
      </c>
      <c r="D51" s="7">
        <v>0.9</v>
      </c>
      <c r="E51" s="8">
        <v>0.5</v>
      </c>
      <c r="F51" s="8">
        <v>0.1</v>
      </c>
      <c r="G51" s="8">
        <v>0.5</v>
      </c>
      <c r="H51" s="8">
        <v>0.65</v>
      </c>
      <c r="I51" s="8">
        <v>0.95</v>
      </c>
      <c r="J51" s="7" t="s">
        <v>191</v>
      </c>
    </row>
    <row r="52" spans="1:18" x14ac:dyDescent="0.3">
      <c r="A52" t="s">
        <v>192</v>
      </c>
      <c r="B52" s="7">
        <v>2.31</v>
      </c>
      <c r="C52" s="7">
        <v>1</v>
      </c>
      <c r="D52" s="7">
        <v>0.9</v>
      </c>
      <c r="E52" s="8">
        <v>0.5</v>
      </c>
      <c r="F52" s="8">
        <v>0.1</v>
      </c>
      <c r="G52" s="8">
        <v>0.5</v>
      </c>
      <c r="H52" s="8">
        <v>0.65</v>
      </c>
      <c r="I52" s="8">
        <v>0.95</v>
      </c>
      <c r="J52" s="7"/>
    </row>
    <row r="53" spans="1:18" x14ac:dyDescent="0.3">
      <c r="A53" t="s">
        <v>193</v>
      </c>
      <c r="B53" s="7">
        <v>2.84</v>
      </c>
      <c r="C53" s="7">
        <v>1</v>
      </c>
      <c r="D53" s="7">
        <v>0.9</v>
      </c>
      <c r="E53" s="8">
        <v>0.5</v>
      </c>
      <c r="F53" s="8">
        <v>0.1</v>
      </c>
      <c r="G53" s="8">
        <v>0.5</v>
      </c>
      <c r="H53" s="8">
        <v>0.65</v>
      </c>
      <c r="I53" s="8">
        <v>0.95</v>
      </c>
      <c r="J53" s="7"/>
      <c r="R53" t="s">
        <v>194</v>
      </c>
    </row>
    <row r="54" spans="1:18" x14ac:dyDescent="0.3">
      <c r="A54" t="s">
        <v>195</v>
      </c>
      <c r="B54" s="7">
        <v>2.52</v>
      </c>
      <c r="C54" s="7">
        <v>1</v>
      </c>
      <c r="D54" s="7">
        <v>0.9</v>
      </c>
      <c r="E54" s="8">
        <v>0.5</v>
      </c>
      <c r="F54" s="8">
        <v>0.1</v>
      </c>
      <c r="G54" s="8">
        <v>0.5</v>
      </c>
      <c r="H54" s="8">
        <v>0.65</v>
      </c>
      <c r="I54" s="8">
        <v>0.95</v>
      </c>
      <c r="J54" s="7" t="s">
        <v>172</v>
      </c>
    </row>
    <row r="55" spans="1:18" x14ac:dyDescent="0.3">
      <c r="A55" t="s">
        <v>196</v>
      </c>
      <c r="B55" s="7">
        <v>2.68</v>
      </c>
      <c r="C55" s="7">
        <v>1</v>
      </c>
      <c r="D55" s="7">
        <v>0.9</v>
      </c>
      <c r="E55" s="8">
        <v>0.5</v>
      </c>
      <c r="F55" s="8">
        <v>0.1</v>
      </c>
      <c r="G55" s="8">
        <v>0.5</v>
      </c>
      <c r="H55" s="8">
        <v>0.65</v>
      </c>
      <c r="I55" s="8">
        <v>0.95</v>
      </c>
      <c r="J55" s="7"/>
    </row>
    <row r="56" spans="1:18" x14ac:dyDescent="0.3">
      <c r="A56" t="s">
        <v>197</v>
      </c>
      <c r="B56" s="7">
        <v>2.25</v>
      </c>
      <c r="C56" s="7">
        <v>1</v>
      </c>
      <c r="D56" s="7">
        <v>0.9</v>
      </c>
      <c r="E56" s="8">
        <v>0.5</v>
      </c>
      <c r="F56" s="8">
        <v>0.1</v>
      </c>
      <c r="G56" s="8">
        <v>0.5</v>
      </c>
      <c r="H56" s="8">
        <v>0.65</v>
      </c>
      <c r="I56" s="8">
        <v>0.95</v>
      </c>
      <c r="J56" s="7"/>
    </row>
    <row r="57" spans="1:18" x14ac:dyDescent="0.3">
      <c r="A57" t="s">
        <v>198</v>
      </c>
      <c r="B57" s="7">
        <v>2.7</v>
      </c>
      <c r="C57" s="7">
        <v>1</v>
      </c>
      <c r="D57" s="7">
        <v>0.9</v>
      </c>
      <c r="E57" s="8">
        <v>0.5</v>
      </c>
      <c r="F57" s="8">
        <v>0.1</v>
      </c>
      <c r="G57" s="8">
        <v>0.5</v>
      </c>
      <c r="H57" s="8">
        <v>0.65</v>
      </c>
      <c r="I57" s="8">
        <v>0.95</v>
      </c>
      <c r="J57" s="7" t="s">
        <v>187</v>
      </c>
    </row>
    <row r="58" spans="1:18" x14ac:dyDescent="0.3">
      <c r="A58" t="s">
        <v>199</v>
      </c>
      <c r="B58" s="7">
        <v>2.7</v>
      </c>
      <c r="C58" s="7">
        <v>1</v>
      </c>
      <c r="D58" s="7">
        <v>0.9</v>
      </c>
      <c r="E58" s="8">
        <v>0.5</v>
      </c>
      <c r="F58" s="8">
        <v>0.1</v>
      </c>
      <c r="G58" s="8">
        <v>0.5</v>
      </c>
      <c r="H58" s="8">
        <v>0.65</v>
      </c>
      <c r="I58" s="8">
        <v>0.95</v>
      </c>
      <c r="J58" s="7"/>
    </row>
    <row r="59" spans="1:18" x14ac:dyDescent="0.3">
      <c r="A59" t="s">
        <v>200</v>
      </c>
      <c r="B59" s="7">
        <v>2.68</v>
      </c>
      <c r="C59" s="7">
        <v>1</v>
      </c>
      <c r="D59" s="7">
        <v>0.9</v>
      </c>
      <c r="E59" s="8">
        <v>0.5</v>
      </c>
      <c r="F59" s="8">
        <v>0.1</v>
      </c>
      <c r="G59" s="8">
        <v>0.5</v>
      </c>
      <c r="H59" s="8">
        <v>0.65</v>
      </c>
      <c r="I59" s="8">
        <v>0.95</v>
      </c>
      <c r="J59" s="7"/>
    </row>
    <row r="60" spans="1:18" x14ac:dyDescent="0.3">
      <c r="A60" t="s">
        <v>201</v>
      </c>
      <c r="B60" s="7">
        <v>2.04</v>
      </c>
      <c r="C60" s="7">
        <v>1</v>
      </c>
      <c r="D60" s="7">
        <v>0.9</v>
      </c>
      <c r="E60" s="8">
        <v>0.5</v>
      </c>
      <c r="F60" s="8">
        <v>0.1</v>
      </c>
      <c r="G60" s="8">
        <v>0.5</v>
      </c>
      <c r="H60" s="8">
        <v>0.65</v>
      </c>
      <c r="I60" s="8">
        <v>0.95</v>
      </c>
      <c r="J60" s="7" t="s">
        <v>172</v>
      </c>
    </row>
    <row r="61" spans="1:18" x14ac:dyDescent="0.3">
      <c r="A61" t="s">
        <v>202</v>
      </c>
      <c r="B61" s="7">
        <v>2.81</v>
      </c>
      <c r="C61" s="7">
        <v>1</v>
      </c>
      <c r="D61" s="7">
        <v>0.9</v>
      </c>
      <c r="E61" s="8">
        <v>0.5</v>
      </c>
      <c r="F61" s="8">
        <v>0.1</v>
      </c>
      <c r="G61" s="8">
        <v>0.5</v>
      </c>
      <c r="H61" s="8">
        <v>0.65</v>
      </c>
      <c r="I61" s="8">
        <v>0.95</v>
      </c>
      <c r="J61" s="7" t="s">
        <v>112</v>
      </c>
    </row>
    <row r="62" spans="1:18" x14ac:dyDescent="0.3">
      <c r="A62" t="s">
        <v>203</v>
      </c>
      <c r="B62" s="7">
        <v>2.4700000000000002</v>
      </c>
      <c r="C62" s="7">
        <v>1</v>
      </c>
      <c r="D62" s="7">
        <v>0.9</v>
      </c>
      <c r="E62" s="8">
        <v>0.5</v>
      </c>
      <c r="F62" s="8">
        <v>0.1</v>
      </c>
      <c r="G62" s="8">
        <v>0.5</v>
      </c>
      <c r="H62" s="8">
        <v>0.65</v>
      </c>
      <c r="I62" s="8">
        <v>0.95</v>
      </c>
      <c r="J62" s="7"/>
    </row>
    <row r="63" spans="1:18" x14ac:dyDescent="0.3">
      <c r="A63" t="s">
        <v>204</v>
      </c>
      <c r="B63" s="7">
        <v>2.5</v>
      </c>
      <c r="C63" s="7">
        <v>1</v>
      </c>
      <c r="D63" s="7">
        <v>0.9</v>
      </c>
      <c r="E63" s="8">
        <v>0.5</v>
      </c>
      <c r="F63" s="8">
        <v>0.1</v>
      </c>
      <c r="G63" s="8">
        <v>0.5</v>
      </c>
      <c r="H63" s="8">
        <v>0.65</v>
      </c>
      <c r="I63" s="8">
        <v>0.95</v>
      </c>
      <c r="J63" s="7" t="s">
        <v>112</v>
      </c>
    </row>
    <row r="64" spans="1:18" x14ac:dyDescent="0.3">
      <c r="A64" t="s">
        <v>205</v>
      </c>
      <c r="B64" s="7">
        <v>2.4300000000000002</v>
      </c>
      <c r="C64" s="7">
        <v>1</v>
      </c>
      <c r="D64" s="7">
        <v>0.9</v>
      </c>
      <c r="E64" s="8">
        <v>0.5</v>
      </c>
      <c r="F64" s="8">
        <v>0.1</v>
      </c>
      <c r="G64" s="8">
        <v>0.5</v>
      </c>
      <c r="H64" s="8">
        <v>0.65</v>
      </c>
      <c r="I64" s="8">
        <v>0.95</v>
      </c>
      <c r="J64" s="7" t="s">
        <v>206</v>
      </c>
    </row>
    <row r="65" spans="1:23" x14ac:dyDescent="0.3">
      <c r="A65" t="s">
        <v>144</v>
      </c>
      <c r="B65" s="7">
        <v>2.56</v>
      </c>
      <c r="C65" s="7">
        <v>1</v>
      </c>
      <c r="D65" s="7">
        <v>0.9</v>
      </c>
      <c r="E65" s="8">
        <v>0.4</v>
      </c>
      <c r="F65" s="8">
        <v>0.1</v>
      </c>
      <c r="G65" s="8">
        <v>0.5</v>
      </c>
      <c r="H65" s="8">
        <v>0.65</v>
      </c>
      <c r="I65" s="8">
        <v>0.95</v>
      </c>
      <c r="J65" s="7" t="s">
        <v>144</v>
      </c>
    </row>
    <row r="66" spans="1:23" x14ac:dyDescent="0.3">
      <c r="A66" t="s">
        <v>207</v>
      </c>
      <c r="B66" s="7">
        <v>2.42</v>
      </c>
      <c r="C66" s="7">
        <v>1</v>
      </c>
      <c r="D66" s="7">
        <v>0.9</v>
      </c>
      <c r="E66" s="8">
        <v>0.5</v>
      </c>
      <c r="F66" s="8">
        <v>0.1</v>
      </c>
      <c r="G66" s="8">
        <v>0.5</v>
      </c>
      <c r="H66" s="8">
        <v>0.65</v>
      </c>
      <c r="I66" s="8">
        <v>0.95</v>
      </c>
      <c r="J66" s="7"/>
    </row>
    <row r="67" spans="1:23" x14ac:dyDescent="0.3">
      <c r="A67" t="s">
        <v>208</v>
      </c>
      <c r="B67" s="7">
        <v>2.57</v>
      </c>
      <c r="C67" s="7">
        <v>1</v>
      </c>
      <c r="D67" s="7">
        <v>0.9</v>
      </c>
      <c r="E67" s="8">
        <v>0.5</v>
      </c>
      <c r="F67" s="8">
        <v>0.1</v>
      </c>
      <c r="G67" s="8">
        <v>0.5</v>
      </c>
      <c r="H67" s="8">
        <v>0.65</v>
      </c>
      <c r="I67" s="8">
        <v>0.95</v>
      </c>
      <c r="J67" s="7"/>
    </row>
    <row r="76" spans="1:23" x14ac:dyDescent="0.3">
      <c r="A76" s="161" t="s">
        <v>209</v>
      </c>
      <c r="B76" s="161"/>
      <c r="C76" s="161"/>
      <c r="D76" s="161"/>
      <c r="E76" s="161"/>
      <c r="F76" s="161"/>
      <c r="G76" s="161"/>
      <c r="H76" s="161"/>
      <c r="I76" s="161"/>
      <c r="J76" s="161"/>
      <c r="K76" s="161"/>
      <c r="L76" s="161"/>
      <c r="M76" s="161"/>
      <c r="N76" s="161"/>
      <c r="O76" s="161"/>
      <c r="P76" s="161"/>
      <c r="Q76" s="161"/>
      <c r="R76" s="161"/>
      <c r="S76" s="161"/>
      <c r="T76" s="161"/>
      <c r="U76" s="161"/>
      <c r="V76" s="161"/>
      <c r="W76" s="161"/>
    </row>
    <row r="77" spans="1:23" x14ac:dyDescent="0.3">
      <c r="A77" s="161"/>
      <c r="B77" s="161"/>
      <c r="C77" s="161"/>
      <c r="D77" s="161"/>
      <c r="E77" s="161"/>
      <c r="F77" s="161"/>
      <c r="G77" s="161"/>
      <c r="H77" s="161"/>
      <c r="I77" s="161"/>
      <c r="J77" s="161"/>
      <c r="K77" s="161"/>
      <c r="L77" s="161"/>
      <c r="M77" s="161"/>
      <c r="N77" s="161"/>
      <c r="O77" s="161"/>
      <c r="P77" s="161"/>
      <c r="Q77" s="161"/>
      <c r="R77" s="161"/>
      <c r="S77" s="161"/>
      <c r="T77" s="161"/>
      <c r="U77" s="161"/>
      <c r="V77" s="161"/>
      <c r="W77" s="161"/>
    </row>
    <row r="78" spans="1:23" x14ac:dyDescent="0.3">
      <c r="A78" t="s">
        <v>210</v>
      </c>
    </row>
    <row r="79" spans="1:23" ht="15" thickBot="1" x14ac:dyDescent="0.35">
      <c r="A79" s="156" t="s">
        <v>211</v>
      </c>
      <c r="B79" s="40" t="s">
        <v>212</v>
      </c>
      <c r="C79" s="40"/>
      <c r="D79" s="40"/>
      <c r="E79" s="41"/>
      <c r="F79" s="41"/>
      <c r="G79" s="41"/>
      <c r="H79" s="41"/>
      <c r="I79" s="41"/>
      <c r="J79" s="41"/>
      <c r="K79" s="41"/>
      <c r="L79" s="42"/>
    </row>
    <row r="80" spans="1:23" ht="15" thickBot="1" x14ac:dyDescent="0.35">
      <c r="A80" s="157"/>
      <c r="B80" s="43" t="s">
        <v>213</v>
      </c>
      <c r="C80" s="64"/>
      <c r="D80" s="64"/>
      <c r="E80" s="158" t="s">
        <v>214</v>
      </c>
      <c r="F80" s="159"/>
      <c r="G80" s="159"/>
      <c r="H80" s="159"/>
      <c r="I80" s="159"/>
      <c r="J80" s="160"/>
      <c r="K80" s="44"/>
      <c r="L80" s="45"/>
    </row>
    <row r="81" spans="1:15" ht="24.6" thickBot="1" x14ac:dyDescent="0.35">
      <c r="A81" s="157"/>
      <c r="B81" s="46"/>
      <c r="C81" s="65"/>
      <c r="D81" s="65"/>
      <c r="E81" s="47" t="s">
        <v>215</v>
      </c>
      <c r="F81" s="67"/>
      <c r="G81" s="67"/>
      <c r="H81" s="67"/>
      <c r="I81" s="67"/>
      <c r="J81" s="48" t="s">
        <v>216</v>
      </c>
      <c r="K81" s="44"/>
      <c r="L81" s="49"/>
    </row>
    <row r="82" spans="1:15" ht="15" thickBot="1" x14ac:dyDescent="0.35">
      <c r="A82" s="157"/>
      <c r="B82" s="46" t="s">
        <v>217</v>
      </c>
      <c r="C82" s="65"/>
      <c r="D82" s="65"/>
      <c r="E82" s="50">
        <v>0.6</v>
      </c>
      <c r="F82" s="68"/>
      <c r="G82" s="68"/>
      <c r="H82" s="68"/>
      <c r="I82" s="68"/>
      <c r="J82" s="51">
        <v>5</v>
      </c>
      <c r="K82" s="44"/>
      <c r="L82" s="45"/>
    </row>
    <row r="83" spans="1:15" ht="15" thickBot="1" x14ac:dyDescent="0.35">
      <c r="A83" s="157"/>
      <c r="B83" s="46" t="s">
        <v>218</v>
      </c>
      <c r="C83" s="65"/>
      <c r="D83" s="65"/>
      <c r="E83" s="50">
        <v>8.6999999999999993</v>
      </c>
      <c r="F83" s="68"/>
      <c r="G83" s="68"/>
      <c r="H83" s="68"/>
      <c r="I83" s="68"/>
      <c r="J83" s="51">
        <v>78</v>
      </c>
      <c r="K83" s="44"/>
      <c r="L83" s="45"/>
    </row>
    <row r="84" spans="1:15" ht="23.4" thickBot="1" x14ac:dyDescent="0.35">
      <c r="A84" s="157"/>
      <c r="B84" s="46" t="s">
        <v>219</v>
      </c>
      <c r="C84" s="65"/>
      <c r="D84" s="65"/>
      <c r="E84" s="50">
        <v>1.9</v>
      </c>
      <c r="F84" s="68"/>
      <c r="G84" s="68"/>
      <c r="H84" s="68"/>
      <c r="I84" s="68"/>
      <c r="J84" s="51">
        <v>17</v>
      </c>
      <c r="K84" s="44"/>
      <c r="L84" s="45"/>
    </row>
    <row r="85" spans="1:15" ht="15" thickBot="1" x14ac:dyDescent="0.35">
      <c r="A85" s="157"/>
      <c r="B85" s="52" t="s">
        <v>220</v>
      </c>
      <c r="C85" s="66"/>
      <c r="D85" s="66"/>
      <c r="E85" s="53">
        <v>11.2</v>
      </c>
      <c r="F85" s="69"/>
      <c r="G85" s="69"/>
      <c r="H85" s="69"/>
      <c r="I85" s="69"/>
      <c r="J85" s="54">
        <v>100</v>
      </c>
      <c r="K85" s="44"/>
      <c r="L85" s="45"/>
    </row>
    <row r="86" spans="1:15" x14ac:dyDescent="0.3">
      <c r="A86" t="s">
        <v>221</v>
      </c>
    </row>
    <row r="87" spans="1:15" x14ac:dyDescent="0.3">
      <c r="H87">
        <f>E83+E84</f>
        <v>10.6</v>
      </c>
    </row>
    <row r="88" spans="1:15" ht="26.4" x14ac:dyDescent="0.3">
      <c r="N88" s="55" t="s">
        <v>222</v>
      </c>
      <c r="O88" s="56" t="s">
        <v>223</v>
      </c>
    </row>
    <row r="89" spans="1:15" ht="105.6" x14ac:dyDescent="0.3">
      <c r="N89" s="55" t="s">
        <v>224</v>
      </c>
      <c r="O89" s="56">
        <v>15</v>
      </c>
    </row>
    <row r="90" spans="1:15" x14ac:dyDescent="0.3">
      <c r="N90" t="s">
        <v>225</v>
      </c>
    </row>
    <row r="105" spans="14:14" x14ac:dyDescent="0.3">
      <c r="N105" t="s">
        <v>226</v>
      </c>
    </row>
  </sheetData>
  <sheetProtection selectLockedCells="1" selectUnlockedCells="1"/>
  <autoFilter ref="A1:J67" xr:uid="{C2CFE9A2-3D12-4B20-873C-1F9E1BC2537D}"/>
  <mergeCells count="3">
    <mergeCell ref="A79:A85"/>
    <mergeCell ref="E80:J80"/>
    <mergeCell ref="A76:W77"/>
  </mergeCells>
  <pageMargins left="0.7" right="0.7" top="0.75" bottom="0.75" header="0.3" footer="0.3"/>
  <pageSetup orientation="portrait" r:id="rId1"/>
  <customProperties>
    <customPr name="LastActive"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6930-10F7-46E4-B01A-AC7CEBEC1A70}">
  <sheetPr>
    <tabColor rgb="FF00B050"/>
  </sheetPr>
  <dimension ref="A1:D18"/>
  <sheetViews>
    <sheetView workbookViewId="0">
      <selection activeCell="B14" sqref="B14"/>
    </sheetView>
  </sheetViews>
  <sheetFormatPr defaultRowHeight="14.4" x14ac:dyDescent="0.3"/>
  <cols>
    <col min="1" max="1" width="84.6640625" bestFit="1" customWidth="1"/>
    <col min="2" max="2" width="36.6640625" style="63" customWidth="1"/>
    <col min="3" max="3" width="34.109375" style="63" bestFit="1" customWidth="1"/>
    <col min="4" max="4" width="102.6640625" bestFit="1" customWidth="1"/>
  </cols>
  <sheetData>
    <row r="1" spans="1:4" x14ac:dyDescent="0.3">
      <c r="A1" s="62" t="s">
        <v>81</v>
      </c>
      <c r="B1" s="62" t="s">
        <v>78</v>
      </c>
      <c r="C1" s="62" t="s">
        <v>227</v>
      </c>
      <c r="D1" s="62" t="s">
        <v>90</v>
      </c>
    </row>
    <row r="2" spans="1:4" x14ac:dyDescent="0.3">
      <c r="A2" s="78" t="s">
        <v>228</v>
      </c>
      <c r="B2" s="136" t="s">
        <v>229</v>
      </c>
      <c r="C2" s="136">
        <v>4</v>
      </c>
      <c r="D2" s="78" t="s">
        <v>230</v>
      </c>
    </row>
    <row r="3" spans="1:4" x14ac:dyDescent="0.3">
      <c r="A3" s="78" t="s">
        <v>231</v>
      </c>
      <c r="B3" s="136" t="s">
        <v>232</v>
      </c>
      <c r="C3" s="136">
        <v>75</v>
      </c>
      <c r="D3" s="78"/>
    </row>
    <row r="4" spans="1:4" x14ac:dyDescent="0.3">
      <c r="A4" s="78" t="s">
        <v>233</v>
      </c>
      <c r="B4" s="136" t="s">
        <v>234</v>
      </c>
      <c r="C4" s="136">
        <f>250+(3*15)</f>
        <v>295</v>
      </c>
      <c r="D4" s="78" t="s">
        <v>235</v>
      </c>
    </row>
    <row r="5" spans="1:4" x14ac:dyDescent="0.3">
      <c r="A5" s="78" t="s">
        <v>236</v>
      </c>
      <c r="B5" s="136" t="s">
        <v>237</v>
      </c>
      <c r="C5" s="136">
        <v>20</v>
      </c>
      <c r="D5" s="78" t="s">
        <v>238</v>
      </c>
    </row>
    <row r="6" spans="1:4" x14ac:dyDescent="0.3">
      <c r="A6" s="78" t="s">
        <v>239</v>
      </c>
      <c r="B6" s="136" t="s">
        <v>240</v>
      </c>
      <c r="C6" s="136">
        <v>50</v>
      </c>
      <c r="D6" s="78" t="s">
        <v>241</v>
      </c>
    </row>
    <row r="7" spans="1:4" x14ac:dyDescent="0.3">
      <c r="A7" s="78" t="s">
        <v>242</v>
      </c>
      <c r="B7" s="136" t="s">
        <v>240</v>
      </c>
      <c r="C7" s="136">
        <v>20</v>
      </c>
      <c r="D7" s="78"/>
    </row>
    <row r="8" spans="1:4" x14ac:dyDescent="0.3">
      <c r="A8" s="78" t="s">
        <v>243</v>
      </c>
      <c r="B8" s="136" t="s">
        <v>244</v>
      </c>
      <c r="C8" s="136">
        <v>150</v>
      </c>
      <c r="D8" s="78" t="s">
        <v>245</v>
      </c>
    </row>
    <row r="9" spans="1:4" x14ac:dyDescent="0.3">
      <c r="A9" s="78" t="s">
        <v>246</v>
      </c>
      <c r="B9" s="136" t="s">
        <v>247</v>
      </c>
      <c r="C9" s="136">
        <v>15</v>
      </c>
      <c r="D9" s="78"/>
    </row>
    <row r="10" spans="1:4" x14ac:dyDescent="0.3">
      <c r="A10" s="78" t="s">
        <v>248</v>
      </c>
      <c r="B10" s="136" t="s">
        <v>249</v>
      </c>
      <c r="C10" s="136">
        <f>AVERAGE(50,75)</f>
        <v>62.5</v>
      </c>
      <c r="D10" s="78" t="s">
        <v>250</v>
      </c>
    </row>
    <row r="11" spans="1:4" x14ac:dyDescent="0.3">
      <c r="A11" s="78" t="s">
        <v>251</v>
      </c>
      <c r="B11" s="136" t="s">
        <v>252</v>
      </c>
      <c r="C11" s="136">
        <f>AVERAGE(250,325)</f>
        <v>287.5</v>
      </c>
      <c r="D11" s="78" t="s">
        <v>253</v>
      </c>
    </row>
    <row r="12" spans="1:4" x14ac:dyDescent="0.3">
      <c r="A12" s="78" t="s">
        <v>254</v>
      </c>
      <c r="B12" s="136" t="s">
        <v>240</v>
      </c>
      <c r="C12" s="136">
        <v>4</v>
      </c>
      <c r="D12" s="78"/>
    </row>
    <row r="13" spans="1:4" ht="28.8" x14ac:dyDescent="0.3">
      <c r="A13" s="78" t="s">
        <v>255</v>
      </c>
      <c r="B13" s="136" t="s">
        <v>234</v>
      </c>
      <c r="C13" s="136">
        <f>250+(7*20)+(3*15)</f>
        <v>435</v>
      </c>
      <c r="D13" s="78" t="s">
        <v>256</v>
      </c>
    </row>
    <row r="14" spans="1:4" ht="28.8" x14ac:dyDescent="0.3">
      <c r="A14" s="78" t="s">
        <v>257</v>
      </c>
      <c r="B14" s="136" t="s">
        <v>258</v>
      </c>
      <c r="C14" s="136">
        <v>100</v>
      </c>
      <c r="D14" s="78" t="s">
        <v>259</v>
      </c>
    </row>
    <row r="15" spans="1:4" x14ac:dyDescent="0.3">
      <c r="A15" s="78" t="s">
        <v>260</v>
      </c>
      <c r="B15" s="136" t="s">
        <v>240</v>
      </c>
      <c r="C15" s="136">
        <v>3</v>
      </c>
      <c r="D15" s="78"/>
    </row>
    <row r="16" spans="1:4" x14ac:dyDescent="0.3">
      <c r="A16" s="78" t="s">
        <v>261</v>
      </c>
      <c r="B16" s="136" t="s">
        <v>262</v>
      </c>
      <c r="C16" s="136">
        <f>200+(1.5*5)</f>
        <v>207.5</v>
      </c>
      <c r="D16" s="78" t="s">
        <v>263</v>
      </c>
    </row>
    <row r="17" spans="1:4" x14ac:dyDescent="0.3">
      <c r="A17" s="78" t="s">
        <v>264</v>
      </c>
      <c r="B17" s="136" t="s">
        <v>262</v>
      </c>
      <c r="C17" s="136">
        <f>100+(3*5)</f>
        <v>115</v>
      </c>
      <c r="D17" s="78" t="s">
        <v>265</v>
      </c>
    </row>
    <row r="18" spans="1:4" x14ac:dyDescent="0.3">
      <c r="A18" s="78" t="s">
        <v>266</v>
      </c>
      <c r="B18" s="136" t="s">
        <v>267</v>
      </c>
      <c r="C18" s="136">
        <f>10+4+26</f>
        <v>40</v>
      </c>
      <c r="D18" s="78" t="s">
        <v>268</v>
      </c>
    </row>
  </sheetData>
  <pageMargins left="0.7" right="0.7" top="0.75" bottom="0.75" header="0.3" footer="0.3"/>
  <customProperties>
    <customPr name="LastActiv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7" ma:contentTypeDescription="Create a new document." ma:contentTypeScope="" ma:versionID="f8a91e4d60d0e353eebb4779a7ce02ed">
  <xsd:schema xmlns:xsd="http://www.w3.org/2001/XMLSchema" xmlns:xs="http://www.w3.org/2001/XMLSchema" xmlns:p="http://schemas.microsoft.com/office/2006/metadata/properties" xmlns:ns2="e8f18764-95a0-43ac-809f-d7a2d88dc902" targetNamespace="http://schemas.microsoft.com/office/2006/metadata/properties" ma:root="true" ma:fieldsID="e83a5e42afc6c64b367dd9235388d8a3"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883CA1-3EB4-496A-8B2C-396915C8A5DB}">
  <ds:schemaRefs>
    <ds:schemaRef ds:uri="http://schemas.microsoft.com/sharepoint/v3/contenttype/forms"/>
  </ds:schemaRefs>
</ds:datastoreItem>
</file>

<file path=customXml/itemProps2.xml><?xml version="1.0" encoding="utf-8"?>
<ds:datastoreItem xmlns:ds="http://schemas.openxmlformats.org/officeDocument/2006/customXml" ds:itemID="{833CAA10-71CF-453A-BE33-65AEF48471A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932DCD1-1699-4E2B-8CD5-B219501097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SPRINGS_OSTDS_Residential</vt:lpstr>
      <vt:lpstr>SPRINGS_OSTDS_Commecial_Calcs</vt:lpstr>
      <vt:lpstr>NLM</vt:lpstr>
      <vt:lpstr>SJRWMD_DEP Modified</vt:lpstr>
      <vt:lpstr>TMDL Method</vt:lpstr>
      <vt:lpstr>ReferenceLists</vt:lpstr>
      <vt:lpstr>OSTDS Flows by Facility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Busby</dc:creator>
  <cp:keywords/>
  <dc:description/>
  <cp:lastModifiedBy>Tiffany Busby</cp:lastModifiedBy>
  <cp:revision/>
  <dcterms:created xsi:type="dcterms:W3CDTF">2021-03-01T18:55:20Z</dcterms:created>
  <dcterms:modified xsi:type="dcterms:W3CDTF">2023-08-11T22:04:53Z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