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omments1.xml" ContentType="application/vnd.openxmlformats-officedocument.spreadsheetml.comments+xml"/>
  <Override PartName="/xl/threadedComments/threadedComment1.xml" ContentType="application/vnd.ms-excel.threadedcomments+xml"/>
  <Override PartName="/xl/customProperty3.bin" ContentType="application/vnd.openxmlformats-officedocument.spreadsheetml.customProperty"/>
  <Override PartName="/xl/comments2.xml" ContentType="application/vnd.openxmlformats-officedocument.spreadsheetml.comments+xml"/>
  <Override PartName="/xl/threadedComments/threadedComment2.xml" ContentType="application/vnd.ms-excel.threaded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customProperty4.bin" ContentType="application/vnd.openxmlformats-officedocument.spreadsheetml.customProperty"/>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customProperty5.bin" ContentType="application/vnd.openxmlformats-officedocument.spreadsheetml.customProperty"/>
  <Override PartName="/xl/customProperty6.bin" ContentType="application/vnd.openxmlformats-officedocument.spreadsheetml.customProperty"/>
  <Override PartName="/xl/comments3.xml" ContentType="application/vnd.openxmlformats-officedocument.spreadsheetml.comments+xml"/>
  <Override PartName="/xl/threadedComments/threadedComment3.xml" ContentType="application/vnd.ms-excel.threadedcomments+xml"/>
  <Override PartName="/xl/pivotTables/pivotTable6.xml" ContentType="application/vnd.openxmlformats-officedocument.spreadsheetml.pivotTable+xml"/>
  <Override PartName="/xl/customProperty7.bin" ContentType="application/vnd.openxmlformats-officedocument.spreadsheetml.customProperty"/>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7.xml" ContentType="application/vnd.openxmlformats-officedocument.spreadsheetml.pivotTable+xml"/>
  <Override PartName="/xl/pivotTables/pivotTable8.xml" ContentType="application/vnd.openxmlformats-officedocument.spreadsheetml.pivotTable+xml"/>
  <Override PartName="/xl/customProperty8.bin" ContentType="application/vnd.openxmlformats-officedocument.spreadsheetml.customProperty"/>
  <Override PartName="/xl/pivotTables/pivotTable9.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Rossiter_B\Desktop\SF BMAPs\Metrics Workbooks\"/>
    </mc:Choice>
  </mc:AlternateContent>
  <xr:revisionPtr revIDLastSave="0" documentId="13_ncr:1_{420D0921-F38B-46D3-9EB3-DD367248D582}" xr6:coauthVersionLast="45" xr6:coauthVersionMax="46" xr10:uidLastSave="{00000000-0000-0000-0000-000000000000}"/>
  <bookViews>
    <workbookView xWindow="-120" yWindow="-120" windowWidth="29040" windowHeight="15840" tabRatio="874" firstSheet="1" activeTab="8" xr2:uid="{00000000-000D-0000-FFFF-FFFF00000000}"/>
  </bookViews>
  <sheets>
    <sheet name="Notes" sheetId="32" r:id="rId1"/>
    <sheet name="Caloosahatchee All Projects" sheetId="26" r:id="rId2"/>
    <sheet name="Append Existing" sheetId="46" r:id="rId3"/>
    <sheet name="Load Reductions 2020" sheetId="45" r:id="rId4"/>
    <sheet name="Summary Info" sheetId="38" r:id="rId5"/>
    <sheet name="Future Projects" sheetId="34" r:id="rId6"/>
    <sheet name="Progress Charts" sheetId="35" r:id="rId7"/>
    <sheet name="Project Type Check 031021" sheetId="42" r:id="rId8"/>
    <sheet name="Storymap Table" sheetId="49" r:id="rId9"/>
  </sheets>
  <externalReferences>
    <externalReference r:id="rId10"/>
    <externalReference r:id="rId11"/>
    <externalReference r:id="rId12"/>
  </externalReferences>
  <definedNames>
    <definedName name="_xlnm._FilterDatabase" localSheetId="2" hidden="1">'Append Existing'!$A$1:$Y$209</definedName>
    <definedName name="_xlnm._FilterDatabase" localSheetId="1" hidden="1">'Caloosahatchee All Projects'!$A$1:$AF$232</definedName>
    <definedName name="_xlnm._FilterDatabase" localSheetId="5">'Future Projects'!$C$1:$W$10</definedName>
    <definedName name="_xlnm._FilterDatabase" localSheetId="7" hidden="1">'Project Type Check 031021'!$A$1:$B$1</definedName>
  </definedNames>
  <calcPr calcId="191029"/>
  <pivotCaches>
    <pivotCache cacheId="15" r:id="rId13"/>
    <pivotCache cacheId="16" r:id="rId14"/>
    <pivotCache cacheId="17" r:id="rId15"/>
    <pivotCache cacheId="18" r:id="rId16"/>
    <pivotCache cacheId="22" r:id="rId17"/>
  </pivotCaches>
  <fileRecoveryPr autoRecover="0"/>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Range-97a31b8e-86bd-40bf-880c-c8807c9eb162" name="Range" connection="Connection"/>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 i="42" l="1"/>
  <c r="B4" i="42"/>
  <c r="B5" i="42"/>
  <c r="B6" i="42"/>
  <c r="B7" i="42"/>
  <c r="B8" i="42"/>
  <c r="B9" i="42"/>
  <c r="B10" i="42"/>
  <c r="B11" i="42"/>
  <c r="B12" i="42"/>
  <c r="B13" i="42"/>
  <c r="B14" i="42"/>
  <c r="B15" i="42"/>
  <c r="B16" i="42"/>
  <c r="B17" i="42"/>
  <c r="B18" i="42"/>
  <c r="B19" i="42"/>
  <c r="B20" i="42"/>
  <c r="B21" i="42"/>
  <c r="B22" i="42"/>
  <c r="B23" i="42"/>
  <c r="B24" i="42"/>
  <c r="B25" i="42"/>
  <c r="B26" i="42"/>
  <c r="B27" i="42"/>
  <c r="B28" i="42"/>
  <c r="B29" i="42"/>
  <c r="B30" i="42"/>
  <c r="B31" i="42"/>
  <c r="B32" i="42"/>
  <c r="B33" i="42"/>
  <c r="B34" i="42"/>
  <c r="B2" i="42"/>
  <c r="B5" i="35"/>
  <c r="I23" i="45" l="1"/>
  <c r="H23" i="45"/>
  <c r="D8" i="45"/>
  <c r="D23" i="45"/>
  <c r="D30" i="45"/>
  <c r="E8" i="45"/>
  <c r="E23" i="45"/>
  <c r="E30" i="45"/>
  <c r="B6" i="35"/>
  <c r="F26" i="45"/>
  <c r="F13" i="45"/>
  <c r="F25" i="45"/>
  <c r="F12" i="45"/>
  <c r="F10" i="45"/>
  <c r="F22" i="45"/>
  <c r="F17" i="45"/>
  <c r="F16" i="45"/>
  <c r="F24" i="45"/>
  <c r="F6" i="45"/>
  <c r="F32" i="45"/>
  <c r="F20" i="45"/>
  <c r="F5" i="45"/>
  <c r="F19" i="45"/>
  <c r="F4" i="45"/>
  <c r="F34" i="45"/>
  <c r="F18" i="45"/>
  <c r="F3" i="45"/>
  <c r="F33" i="45"/>
  <c r="F7" i="45"/>
  <c r="F21" i="45"/>
  <c r="F29" i="45"/>
  <c r="F15" i="45"/>
  <c r="F27" i="45"/>
  <c r="F14" i="45"/>
  <c r="H6" i="45" l="1"/>
  <c r="I6" i="45"/>
  <c r="H18" i="45"/>
  <c r="I18" i="45"/>
  <c r="H19" i="45"/>
  <c r="I19" i="45"/>
  <c r="H22" i="45"/>
  <c r="I22" i="45"/>
  <c r="B7" i="35"/>
  <c r="B25" i="45"/>
  <c r="B17" i="45"/>
  <c r="B12" i="45"/>
  <c r="B16" i="45"/>
  <c r="B10" i="45"/>
  <c r="B21" i="45"/>
  <c r="B33" i="45"/>
  <c r="B20" i="45"/>
  <c r="B26" i="45"/>
  <c r="B24" i="45"/>
  <c r="B15" i="45"/>
  <c r="B18" i="45"/>
  <c r="B6" i="45"/>
  <c r="B5" i="45"/>
  <c r="B3" i="45"/>
  <c r="B34" i="45"/>
  <c r="B22" i="45"/>
  <c r="B32" i="45"/>
  <c r="B27" i="45"/>
  <c r="B7" i="45"/>
  <c r="B19" i="45"/>
  <c r="B13" i="45"/>
  <c r="B29" i="45"/>
  <c r="B14" i="45"/>
  <c r="E5" i="45" l="1"/>
  <c r="D5" i="45"/>
  <c r="E6" i="45"/>
  <c r="D6" i="45"/>
  <c r="E7" i="45"/>
  <c r="D7" i="45"/>
  <c r="E18" i="45"/>
  <c r="D18" i="45"/>
  <c r="E19" i="45"/>
  <c r="D19" i="45"/>
  <c r="E22" i="45"/>
  <c r="D22" i="45"/>
  <c r="D25" i="45"/>
  <c r="E25" i="45"/>
  <c r="E26" i="45"/>
  <c r="D26" i="45"/>
  <c r="B8" i="35"/>
  <c r="F35" i="45" l="1"/>
  <c r="I35" i="45" s="1"/>
  <c r="G35" i="45"/>
  <c r="H35" i="45"/>
  <c r="C35" i="45"/>
  <c r="B9" i="35"/>
  <c r="B4" i="45"/>
  <c r="B35" i="45" l="1"/>
  <c r="D4" i="45"/>
  <c r="E4" i="45"/>
  <c r="B10" i="35"/>
  <c r="D35" i="45" l="1"/>
  <c r="E35" i="45"/>
  <c r="B11" i="35"/>
  <c r="H3" i="42" l="1"/>
  <c r="H2" i="42"/>
  <c r="B12" i="35"/>
  <c r="B13" i="3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tc={D14F8558-6A53-46D3-B991-F4253BD55CED}</author>
    <author>tc={82DBF865-5DF3-41B1-8A41-12A0509644FC}</author>
    <author>tc={841A097F-162A-44B6-A551-A18390AE2CFD}</author>
    <author>tc={ED42692B-4B22-49C8-8C88-A59C6DDE7668}</author>
    <author>tc={6A137751-CF04-4BCE-86B1-0C94FD89B0AA}</author>
    <author>tc={87021DC3-D845-407D-91ED-3A88D68D785E}</author>
    <author>tc={244D8211-94A1-4DD0-AEA6-9508BD193322}</author>
    <author>tc={AFF9DD1F-94A6-496F-815F-056D3A071A53}</author>
    <author>tc={6C254102-8795-4DAE-BB32-822EFCFF8449}</author>
    <author>tc={A57F63FD-D7E3-421C-A1D2-FDE380A0C10A}</author>
    <author>tc={6A7B40DF-F642-4D3F-8B17-79706D66ED13}</author>
    <author>tc={7C40ACD2-EEE8-42F6-996A-EC5369D14227}</author>
    <author>tc={6829574B-1180-4F46-8D3D-101E61C568D3}</author>
    <author>tc={0E139600-778D-4AEF-9974-6504544AC1F4}</author>
    <author>tc={A0024AC7-1EF1-4ABC-9523-F6C0896E813F}</author>
    <author>tc={23144CA5-32AB-47D8-99B7-89F464B48D9C}</author>
    <author>tc={03B1E956-13C1-4ADF-93B1-E4CD653BC762}</author>
    <author>tc={8F68E9F7-3494-4175-9011-D1AA88C405DA}</author>
    <author>tc={F111DB4F-5A5F-485A-9EE1-7C4E3EAC94D5}</author>
    <author>tc={F12E3E7E-1710-40C4-AAA2-A53B8C8CC452}</author>
    <author>tc={4DFB33AA-2208-40C7-8E98-E2F0637B5348}</author>
    <author>tc={42EED2D6-E0F4-4EA2-9F6D-3B26E329AE04}</author>
    <author>tc={2B8F2FD9-9D69-43C7-94B3-22D1573C5B57}</author>
    <author>tc={BA7ACD8A-9C51-428E-8F56-A8342E579BAE}</author>
    <author>tc={B26A3F96-AD4A-440E-8739-698701A55133}</author>
    <author>tc={747FADE8-7649-425C-91DF-238999E5F737}</author>
  </authors>
  <commentList>
    <comment ref="L27" authorId="0" shapeId="0" xr:uid="{D14F8558-6A53-46D3-B991-F4253BD55CED}">
      <text>
        <t>[Threaded comment]
Your version of Excel allows you to read this threaded comment; however, any edits to it will get removed if the file is opened in a newer version of Excel. Learn more: https://go.microsoft.com/fwlink/?linkid=870924
Comment:
    Previously listed as 1084</t>
      </text>
    </comment>
    <comment ref="L29" authorId="1" shapeId="0" xr:uid="{82DBF865-5DF3-41B1-8A41-12A0509644FC}">
      <text>
        <t>[Threaded comment]
Your version of Excel allows you to read this threaded comment; however, any edits to it will get removed if the file is opened in a newer version of Excel. Learn more: https://go.microsoft.com/fwlink/?linkid=870924
Comment:
    Previously listed as 590</t>
      </text>
    </comment>
    <comment ref="L31" authorId="2" shapeId="0" xr:uid="{841A097F-162A-44B6-A551-A18390AE2CFD}">
      <text>
        <t>[Threaded comment]
Your version of Excel allows you to read this threaded comment; however, any edits to it will get removed if the file is opened in a newer version of Excel. Learn more: https://go.microsoft.com/fwlink/?linkid=870924
Comment:
    Previously listed as 48,000</t>
      </text>
    </comment>
    <comment ref="L117" authorId="3" shapeId="0" xr:uid="{ED42692B-4B22-49C8-8C88-A59C6DDE7668}">
      <text>
        <t>[Threaded comment]
Your version of Excel allows you to read this threaded comment; however, any edits to it will get removed if the file is opened in a newer version of Excel. Learn more: https://go.microsoft.com/fwlink/?linkid=870924
Comment:
    Previously listed as 40</t>
      </text>
    </comment>
    <comment ref="L120" authorId="4" shapeId="0" xr:uid="{6A137751-CF04-4BCE-86B1-0C94FD89B0AA}">
      <text>
        <t>[Threaded comment]
Your version of Excel allows you to read this threaded comment; however, any edits to it will get removed if the file is opened in a newer version of Excel. Learn more: https://go.microsoft.com/fwlink/?linkid=870924
Comment:
    We have updated credits for this project but need to verify the credit split with Lee County prior to adding them to this workbook
Reply:
    4,025 previously listed. Changed to TBD per 08.11.2020 workbook.
Reply:
    Applied 60/40 split FM-06 and LC-24 according to new calculations in Project Credit Calcs workbook and email from BR on 091120</t>
      </text>
    </comment>
    <comment ref="L147" authorId="5" shapeId="0" xr:uid="{87021DC3-D845-407D-91ED-3A88D68D785E}">
      <text>
        <t>[Threaded comment]
Your version of Excel allows you to read this threaded comment; however, any edits to it will get removed if the file is opened in a newer version of Excel. Learn more: https://go.microsoft.com/fwlink/?linkid=870924
Comment:
    Previously listed at 4682.</t>
      </text>
    </comment>
    <comment ref="V151" authorId="6" shapeId="0" xr:uid="{244D8211-94A1-4DD0-AEA6-9508BD193322}">
      <text>
        <t>[Threaded comment]
Your version of Excel allows you to read this threaded comment; however, any edits to it will get removed if the file is opened in a newer version of Excel. Learn more: https://go.microsoft.com/fwlink/?linkid=870924
Comment:
    Converted coordinate into decimal degrees</t>
      </text>
    </comment>
    <comment ref="W151" authorId="7" shapeId="0" xr:uid="{AFF9DD1F-94A6-496F-815F-056D3A071A53}">
      <text>
        <t>[Threaded comment]
Your version of Excel allows you to read this threaded comment; however, any edits to it will get removed if the file is opened in a newer version of Excel. Learn more: https://go.microsoft.com/fwlink/?linkid=870924
Comment:
    Converted coordinate into decimal degrees</t>
      </text>
    </comment>
    <comment ref="L153" authorId="8" shapeId="0" xr:uid="{6C254102-8795-4DAE-BB32-822EFCFF8449}">
      <text>
        <t>[Threaded comment]
Your version of Excel allows you to read this threaded comment; however, any edits to it will get removed if the file is opened in a newer version of Excel. Learn more: https://go.microsoft.com/fwlink/?linkid=870924
Comment:
    Previously listed as 2015</t>
      </text>
    </comment>
    <comment ref="K156" authorId="9" shapeId="0" xr:uid="{A57F63FD-D7E3-421C-A1D2-FDE380A0C10A}">
      <text>
        <t>[Threaded comment]
Your version of Excel allows you to read this threaded comment; however, any edits to it will get removed if the file is opened in a newer version of Excel. Learn more: https://go.microsoft.com/fwlink/?linkid=870924
Comment:
    Since these were entered in 2012 and are based on land use changes from the model, I have entered 2019. The date cannot be listed as N/A and the status cannot be ongoing.</t>
      </text>
    </comment>
    <comment ref="P156" authorId="10" shapeId="0" xr:uid="{6A7B40DF-F642-4D3F-8B17-79706D66ED13}">
      <text>
        <t xml:space="preserve">[Threaded comment]
Your version of Excel allows you to read this threaded comment; however, any edits to it will get removed if the file is opened in a newer version of Excel. Learn more: https://go.microsoft.com/fwlink/?linkid=870924
Comment:
    Nomination 156
</t>
      </text>
    </comment>
    <comment ref="S168" authorId="11" shapeId="0" xr:uid="{7C40ACD2-EEE8-42F6-996A-EC5369D14227}">
      <text>
        <t>[Threaded comment]
Your version of Excel allows you to read this threaded comment; however, any edits to it will get removed if the file is opened in a newer version of Excel. Learn more: https://go.microsoft.com/fwlink/?linkid=870924
Comment:
    Nomination 138</t>
      </text>
    </comment>
    <comment ref="P169" authorId="12" shapeId="0" xr:uid="{6829574B-1180-4F46-8D3D-101E61C568D3}">
      <text>
        <t>[Threaded comment]
Your version of Excel allows you to read this threaded comment; however, any edits to it will get removed if the file is opened in a newer version of Excel. Learn more: https://go.microsoft.com/fwlink/?linkid=870924
Comment:
    FYN - $90,000/yr              Fert Ord  - $58,000/yr     Illicit discharge program- $244,441/yr</t>
      </text>
    </comment>
    <comment ref="P170" authorId="13" shapeId="0" xr:uid="{0E139600-778D-4AEF-9974-6504544AC1F4}">
      <text>
        <t>[Threaded comment]
Your version of Excel allows you to read this threaded comment; however, any edits to it will get removed if the file is opened in a newer version of Excel. Learn more: https://go.microsoft.com/fwlink/?linkid=870924
Comment:
    $550/mile * 1262.138 miles in 2016 reporting period</t>
      </text>
    </comment>
    <comment ref="P171" authorId="14" shapeId="0" xr:uid="{A0024AC7-1EF1-4ABC-9523-F6C0896E813F}">
      <text>
        <t>[Threaded comment]
Your version of Excel allows you to read this threaded comment; however, any edits to it will get removed if the file is opened in a newer version of Excel. Learn more: https://go.microsoft.com/fwlink/?linkid=870924
Comment:
    Cost figure is for both LC-17 and LC-20: O &amp; M is average cost</t>
      </text>
    </comment>
    <comment ref="P174" authorId="15" shapeId="0" xr:uid="{23144CA5-32AB-47D8-99B7-89F464B48D9C}">
      <text>
        <t>[Threaded comment]
Your version of Excel allows you to read this threaded comment; however, any edits to it will get removed if the file is opened in a newer version of Excel. Learn more: https://go.microsoft.com/fwlink/?linkid=870924
Comment:
    See comments for LC-17, Powell Creek Extension: cost is land acquisition cost: O &amp; M is average cost</t>
      </text>
    </comment>
    <comment ref="P175" authorId="16" shapeId="0" xr:uid="{03B1E956-13C1-4ADF-93B1-E4CD653BC762}">
      <text>
        <t>[Threaded comment]
Your version of Excel allows you to read this threaded comment; however, any edits to it will get removed if the file is opened in a newer version of Excel. Learn more: https://go.microsoft.com/fwlink/?linkid=870924
Comment:
    Cost is estimate</t>
      </text>
    </comment>
    <comment ref="L179" authorId="17" shapeId="0" xr:uid="{8F68E9F7-3494-4175-9011-D1AA88C405DA}">
      <text>
        <t>[Threaded comment]
Your version of Excel allows you to read this threaded comment; however, any edits to it will get removed if the file is opened in a newer version of Excel. Learn more: https://go.microsoft.com/fwlink/?linkid=870924
Comment:
    We have updated credits for this project but need to verify the credit split with Fort Myers prior to adding them to this workbook
Reply:
    Applied 60/40 split FM-06 and LC-24 according to new calculations in Project Credit Calcs workbook and email from BR on 091120</t>
      </text>
    </comment>
    <comment ref="P179" authorId="18" shapeId="0" xr:uid="{F111DB4F-5A5F-485A-9EE1-7C4E3EAC94D5}">
      <text>
        <t>[Threaded comment]
Your version of Excel allows you to read this threaded comment; however, any edits to it will get removed if the file is opened in a newer version of Excel. Learn more: https://go.microsoft.com/fwlink/?linkid=870924
Comment:
    Cost is land acquisition cost</t>
      </text>
    </comment>
    <comment ref="E181" authorId="19" shapeId="0" xr:uid="{F12E3E7E-1710-40C4-AAA2-A53B8C8CC452}">
      <text>
        <t>[Threaded comment]
Your version of Excel allows you to read this threaded comment; however, any edits to it will get removed if the file is opened in a newer version of Excel. Learn more: https://go.microsoft.com/fwlink/?linkid=870924
Comment:
    Maria sent us an updated treatment area shp on 2/26, Marcy did the recalcs</t>
      </text>
    </comment>
    <comment ref="L191" authorId="20" shapeId="0" xr:uid="{4DFB33AA-2208-40C7-8E98-E2F0637B5348}">
      <text>
        <t>[Threaded comment]
Your version of Excel allows you to read this threaded comment; however, any edits to it will get removed if the file is opened in a newer version of Excel. Learn more: https://go.microsoft.com/fwlink/?linkid=870924
Comment:
    Previously 16,185</t>
      </text>
    </comment>
    <comment ref="P192" authorId="21" shapeId="0" xr:uid="{42EED2D6-E0F4-4EA2-9F6D-3B26E329AE04}">
      <text>
        <t>[Threaded comment]
Your version of Excel allows you to read this threaded comment; however, any edits to it will get removed if the file is opened in a newer version of Excel. Learn more: https://go.microsoft.com/fwlink/?linkid=870924
Comment:
    Cost was Lee County's contribution towards project to defray SFWMD land acquisition costs</t>
      </text>
    </comment>
    <comment ref="P195" authorId="22" shapeId="0" xr:uid="{2B8F2FD9-9D69-43C7-94B3-22D1573C5B57}">
      <text>
        <t xml:space="preserve">[Threaded comment]
Your version of Excel allows you to read this threaded comment; however, any edits to it will get removed if the file is opened in a newer version of Excel. Learn more: https://go.microsoft.com/fwlink/?linkid=870924
Comment:
    cost captures study only </t>
      </text>
    </comment>
    <comment ref="P196" authorId="23" shapeId="0" xr:uid="{BA7ACD8A-9C51-428E-8F56-A8342E579BAE}">
      <text>
        <t xml:space="preserve">[Threaded comment]
Your version of Excel allows you to read this threaded comment; however, any edits to it will get removed if the file is opened in a newer version of Excel. Learn more: https://go.microsoft.com/fwlink/?linkid=870924
Comment:
    cost captures study only </t>
      </text>
    </comment>
    <comment ref="P197" authorId="24" shapeId="0" xr:uid="{B26A3F96-AD4A-440E-8739-698701A55133}">
      <text>
        <t>[Threaded comment]
Your version of Excel allows you to read this threaded comment; however, any edits to it will get removed if the file is opened in a newer version of Excel. Learn more: https://go.microsoft.com/fwlink/?linkid=870924
Comment:
    cost is estimate</t>
      </text>
    </comment>
    <comment ref="J227" authorId="25" shapeId="0" xr:uid="{747FADE8-7649-425C-91DF-238999E5F737}">
      <text>
        <t>[Threaded comment]
Your version of Excel allows you to read this threaded comment; however, any edits to it will get removed if the file is opened in a newer version of Excel. Learn more: https://go.microsoft.com/fwlink/?linkid=870924
Comment:
    Edited to be year instead of specific date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tc={FA8EBF84-37AA-4322-AB3F-6EC5B4D8AC5B}</author>
    <author>tc={26134CEC-9ACD-449C-B469-D3BB03B7C4AA}</author>
    <author>tc={8C829287-886D-4CA8-ACF9-C250CD1604E7}</author>
    <author>tc={7BC98813-D17C-46D3-849F-5D0826079EF5}</author>
    <author>tc={66A10574-96D6-4FDA-AD5E-4505FA759470}</author>
    <author>tc={52DE2EB2-1112-4E4A-83DF-5B0759AADC89}</author>
    <author>tc={C6A92824-A812-4BA7-AE2B-BF9184C55507}</author>
    <author>tc={70E42A65-1FD3-46D6-8D30-ACCBC4981F55}</author>
    <author>tc={C6C437C8-A67D-4F78-AD33-A23AE2CE894E}</author>
    <author>tc={C0554685-38FB-4103-AF3F-92B7E845EC36}</author>
    <author>tc={7D184225-0BFF-4238-89FD-B4342FD2D599}</author>
    <author>tc={6FFF48FF-0756-407D-BF6C-D3059CA3CD9E}</author>
    <author>tc={33104E6D-C4FF-4DA9-9A88-D6C1D1F4BA4C}</author>
    <author>tc={CEF1A2A7-F13F-4CB5-AB8A-40863B8FAB17}</author>
    <author>tc={775271B7-B778-4980-B6E2-3C5867DB9565}</author>
    <author>tc={D01818F8-3409-44F8-B460-D1ADC70D99AC}</author>
    <author>tc={823106E4-7537-404A-A6B1-803B207D51EF}</author>
    <author>tc={342C69E1-6F70-4E9D-B352-096415308D94}</author>
    <author>tc={647912B2-6BA9-40BC-B31F-CB424E24C96C}</author>
    <author>tc={3FDE57FE-C008-43DC-9088-E241B2DA40DB}</author>
    <author>tc={DA7E9B41-EA78-4F74-A504-C7C102F24F8A}</author>
    <author>tc={B3C6BFE2-C523-4965-9326-AC8122EA3694}</author>
    <author>tc={EFE2519F-D6CD-4D47-993C-1258DE582861}</author>
    <author>tc={841C432D-B32E-4A7E-92B9-16833339525A}</author>
    <author>tc={3CA6DAFC-44C9-4F19-B343-359CD107A906}</author>
  </authors>
  <commentList>
    <comment ref="L27" authorId="0" shapeId="0" xr:uid="{FA8EBF84-37AA-4322-AB3F-6EC5B4D8AC5B}">
      <text>
        <t>[Threaded comment]
Your version of Excel allows you to read this threaded comment; however, any edits to it will get removed if the file is opened in a newer version of Excel. Learn more: https://go.microsoft.com/fwlink/?linkid=870924
Comment:
    Previously listed as 1084</t>
      </text>
    </comment>
    <comment ref="L29" authorId="1" shapeId="0" xr:uid="{26134CEC-9ACD-449C-B469-D3BB03B7C4AA}">
      <text>
        <t>[Threaded comment]
Your version of Excel allows you to read this threaded comment; however, any edits to it will get removed if the file is opened in a newer version of Excel. Learn more: https://go.microsoft.com/fwlink/?linkid=870924
Comment:
    Previously listed as 590</t>
      </text>
    </comment>
    <comment ref="L31" authorId="2" shapeId="0" xr:uid="{8C829287-886D-4CA8-ACF9-C250CD1604E7}">
      <text>
        <t>[Threaded comment]
Your version of Excel allows you to read this threaded comment; however, any edits to it will get removed if the file is opened in a newer version of Excel. Learn more: https://go.microsoft.com/fwlink/?linkid=870924
Comment:
    Previously listed as 48,000</t>
      </text>
    </comment>
    <comment ref="L111" authorId="3" shapeId="0" xr:uid="{7BC98813-D17C-46D3-849F-5D0826079EF5}">
      <text>
        <t>[Threaded comment]
Your version of Excel allows you to read this threaded comment; however, any edits to it will get removed if the file is opened in a newer version of Excel. Learn more: https://go.microsoft.com/fwlink/?linkid=870924
Comment:
    Previously listed as 40</t>
      </text>
    </comment>
    <comment ref="L114" authorId="4" shapeId="0" xr:uid="{66A10574-96D6-4FDA-AD5E-4505FA759470}">
      <text>
        <t>[Threaded comment]
Your version of Excel allows you to read this threaded comment; however, any edits to it will get removed if the file is opened in a newer version of Excel. Learn more: https://go.microsoft.com/fwlink/?linkid=870924
Comment:
    We have updated credits for this project but need to verify the credit split with Lee County prior to adding them to this workbook
Reply:
    4,025 previously listed. Changed to TBD per 08.11.2020 workbook.
Reply:
    Applied 60/40 split FM-06 and LC-24 according to new calculations in Project Credit Calcs workbook and email from BR on 091120</t>
      </text>
    </comment>
    <comment ref="L141" authorId="5" shapeId="0" xr:uid="{52DE2EB2-1112-4E4A-83DF-5B0759AADC89}">
      <text>
        <t>[Threaded comment]
Your version of Excel allows you to read this threaded comment; however, any edits to it will get removed if the file is opened in a newer version of Excel. Learn more: https://go.microsoft.com/fwlink/?linkid=870924
Comment:
    Previously listed at 4682.</t>
      </text>
    </comment>
    <comment ref="V145" authorId="6" shapeId="0" xr:uid="{C6A92824-A812-4BA7-AE2B-BF9184C55507}">
      <text>
        <t>[Threaded comment]
Your version of Excel allows you to read this threaded comment; however, any edits to it will get removed if the file is opened in a newer version of Excel. Learn more: https://go.microsoft.com/fwlink/?linkid=870924
Comment:
    Converted coordinate into decimal degrees</t>
      </text>
    </comment>
    <comment ref="W145" authorId="7" shapeId="0" xr:uid="{70E42A65-1FD3-46D6-8D30-ACCBC4981F55}">
      <text>
        <t>[Threaded comment]
Your version of Excel allows you to read this threaded comment; however, any edits to it will get removed if the file is opened in a newer version of Excel. Learn more: https://go.microsoft.com/fwlink/?linkid=870924
Comment:
    Converted coordinate into decimal degrees</t>
      </text>
    </comment>
    <comment ref="L147" authorId="8" shapeId="0" xr:uid="{C6C437C8-A67D-4F78-AD33-A23AE2CE894E}">
      <text>
        <t>[Threaded comment]
Your version of Excel allows you to read this threaded comment; however, any edits to it will get removed if the file is opened in a newer version of Excel. Learn more: https://go.microsoft.com/fwlink/?linkid=870924
Comment:
    Previously listed as 2015</t>
      </text>
    </comment>
    <comment ref="K150" authorId="9" shapeId="0" xr:uid="{C0554685-38FB-4103-AF3F-92B7E845EC36}">
      <text>
        <t>[Threaded comment]
Your version of Excel allows you to read this threaded comment; however, any edits to it will get removed if the file is opened in a newer version of Excel. Learn more: https://go.microsoft.com/fwlink/?linkid=870924
Comment:
    Since these were entered in 2012 and are based on land use changes from the model, I have entered 2019. The date cannot be listed as N/A and the status cannot be ongoing.</t>
      </text>
    </comment>
    <comment ref="P150" authorId="10" shapeId="0" xr:uid="{7D184225-0BFF-4238-89FD-B4342FD2D599}">
      <text>
        <t xml:space="preserve">[Threaded comment]
Your version of Excel allows you to read this threaded comment; however, any edits to it will get removed if the file is opened in a newer version of Excel. Learn more: https://go.microsoft.com/fwlink/?linkid=870924
Comment:
    Nomination 156
</t>
      </text>
    </comment>
    <comment ref="S162" authorId="11" shapeId="0" xr:uid="{6FFF48FF-0756-407D-BF6C-D3059CA3CD9E}">
      <text>
        <t>[Threaded comment]
Your version of Excel allows you to read this threaded comment; however, any edits to it will get removed if the file is opened in a newer version of Excel. Learn more: https://go.microsoft.com/fwlink/?linkid=870924
Comment:
    Nomination 138</t>
      </text>
    </comment>
    <comment ref="P163" authorId="12" shapeId="0" xr:uid="{33104E6D-C4FF-4DA9-9A88-D6C1D1F4BA4C}">
      <text>
        <t>[Threaded comment]
Your version of Excel allows you to read this threaded comment; however, any edits to it will get removed if the file is opened in a newer version of Excel. Learn more: https://go.microsoft.com/fwlink/?linkid=870924
Comment:
    FYN - $90,000/yr              Fert Ord  - $58,000/yr     Illicit discharge program- $244,441/yr</t>
      </text>
    </comment>
    <comment ref="P164" authorId="13" shapeId="0" xr:uid="{CEF1A2A7-F13F-4CB5-AB8A-40863B8FAB17}">
      <text>
        <t>[Threaded comment]
Your version of Excel allows you to read this threaded comment; however, any edits to it will get removed if the file is opened in a newer version of Excel. Learn more: https://go.microsoft.com/fwlink/?linkid=870924
Comment:
    $550/mile * 1262.138 miles in 2016 reporting period</t>
      </text>
    </comment>
    <comment ref="P165" authorId="14" shapeId="0" xr:uid="{775271B7-B778-4980-B6E2-3C5867DB9565}">
      <text>
        <t>[Threaded comment]
Your version of Excel allows you to read this threaded comment; however, any edits to it will get removed if the file is opened in a newer version of Excel. Learn more: https://go.microsoft.com/fwlink/?linkid=870924
Comment:
    Cost figure is for both LC-17 and LC-20: O &amp; M is average cost</t>
      </text>
    </comment>
    <comment ref="P168" authorId="15" shapeId="0" xr:uid="{D01818F8-3409-44F8-B460-D1ADC70D99AC}">
      <text>
        <t>[Threaded comment]
Your version of Excel allows you to read this threaded comment; however, any edits to it will get removed if the file is opened in a newer version of Excel. Learn more: https://go.microsoft.com/fwlink/?linkid=870924
Comment:
    See comments for LC-17, Powell Creek Extension: cost is land acquisition cost: O &amp; M is average cost</t>
      </text>
    </comment>
    <comment ref="P169" authorId="16" shapeId="0" xr:uid="{823106E4-7537-404A-A6B1-803B207D51EF}">
      <text>
        <t>[Threaded comment]
Your version of Excel allows you to read this threaded comment; however, any edits to it will get removed if the file is opened in a newer version of Excel. Learn more: https://go.microsoft.com/fwlink/?linkid=870924
Comment:
    Cost is estimate</t>
      </text>
    </comment>
    <comment ref="L172" authorId="17" shapeId="0" xr:uid="{342C69E1-6F70-4E9D-B352-096415308D94}">
      <text>
        <t>[Threaded comment]
Your version of Excel allows you to read this threaded comment; however, any edits to it will get removed if the file is opened in a newer version of Excel. Learn more: https://go.microsoft.com/fwlink/?linkid=870924
Comment:
    We have updated credits for this project but need to verify the credit split with Fort Myers prior to adding them to this workbook
Reply:
    Applied 60/40 split FM-06 and LC-24 according to new calculations in Project Credit Calcs workbook and email from BR on 091120</t>
      </text>
    </comment>
    <comment ref="P172" authorId="18" shapeId="0" xr:uid="{647912B2-6BA9-40BC-B31F-CB424E24C96C}">
      <text>
        <t>[Threaded comment]
Your version of Excel allows you to read this threaded comment; however, any edits to it will get removed if the file is opened in a newer version of Excel. Learn more: https://go.microsoft.com/fwlink/?linkid=870924
Comment:
    Cost is land acquisition cost</t>
      </text>
    </comment>
    <comment ref="E174" authorId="19" shapeId="0" xr:uid="{3FDE57FE-C008-43DC-9088-E241B2DA40DB}">
      <text>
        <t>[Threaded comment]
Your version of Excel allows you to read this threaded comment; however, any edits to it will get removed if the file is opened in a newer version of Excel. Learn more: https://go.microsoft.com/fwlink/?linkid=870924
Comment:
    Maria sent us an updated treatment area shp on 2/26, Marcy did the recalcs</t>
      </text>
    </comment>
    <comment ref="L182" authorId="20" shapeId="0" xr:uid="{DA7E9B41-EA78-4F74-A504-C7C102F24F8A}">
      <text>
        <t>[Threaded comment]
Your version of Excel allows you to read this threaded comment; however, any edits to it will get removed if the file is opened in a newer version of Excel. Learn more: https://go.microsoft.com/fwlink/?linkid=870924
Comment:
    Previously 16,185</t>
      </text>
    </comment>
    <comment ref="P183" authorId="21" shapeId="0" xr:uid="{B3C6BFE2-C523-4965-9326-AC8122EA3694}">
      <text>
        <t>[Threaded comment]
Your version of Excel allows you to read this threaded comment; however, any edits to it will get removed if the file is opened in a newer version of Excel. Learn more: https://go.microsoft.com/fwlink/?linkid=870924
Comment:
    Cost was Lee County's contribution towards project to defray SFWMD land acquisition costs</t>
      </text>
    </comment>
    <comment ref="P186" authorId="22" shapeId="0" xr:uid="{EFE2519F-D6CD-4D47-993C-1258DE582861}">
      <text>
        <t xml:space="preserve">[Threaded comment]
Your version of Excel allows you to read this threaded comment; however, any edits to it will get removed if the file is opened in a newer version of Excel. Learn more: https://go.microsoft.com/fwlink/?linkid=870924
Comment:
    cost captures study only </t>
      </text>
    </comment>
    <comment ref="P187" authorId="23" shapeId="0" xr:uid="{841C432D-B32E-4A7E-92B9-16833339525A}">
      <text>
        <t xml:space="preserve">[Threaded comment]
Your version of Excel allows you to read this threaded comment; however, any edits to it will get removed if the file is opened in a newer version of Excel. Learn more: https://go.microsoft.com/fwlink/?linkid=870924
Comment:
    cost captures study only </t>
      </text>
    </comment>
    <comment ref="P188" authorId="24" shapeId="0" xr:uid="{3CA6DAFC-44C9-4F19-B343-359CD107A906}">
      <text>
        <t>[Threaded comment]
Your version of Excel allows you to read this threaded comment; however, any edits to it will get removed if the file is opened in a newer version of Excel. Learn more: https://go.microsoft.com/fwlink/?linkid=870924
Comment:
    cost is estimate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tc={47632928-AB9E-4C93-B77C-377A7B8C6640}</author>
    <author>tc={5988B0E7-79AB-402F-8E06-6A1E4AC25AAF}</author>
    <author>tc={60F8295A-7C03-430E-A769-BC1BD5ACDB6B}</author>
    <author>tc={33E52339-F33F-4CC7-B99A-212862F76F51}</author>
  </authors>
  <commentList>
    <comment ref="K3" authorId="0" shapeId="0" xr:uid="{47632928-AB9E-4C93-B77C-377A7B8C6640}">
      <text>
        <t>[Threaded comment]
Your version of Excel allows you to read this threaded comment; however, any edits to it will get removed if the file is opened in a newer version of Excel. Learn more: https://go.microsoft.com/fwlink/?linkid=870924
Comment:
    Up to 64,067 depending upon location and number of facilities</t>
      </text>
    </comment>
    <comment ref="V4" authorId="1" shapeId="0" xr:uid="{5988B0E7-79AB-402F-8E06-6A1E4AC25AAF}">
      <text>
        <t>[Threaded comment]
Your version of Excel allows you to read this threaded comment; however, any edits to it will get removed if the file is opened in a newer version of Excel. Learn more: https://go.microsoft.com/fwlink/?linkid=870924
Comment:
    All figures (reduction, cost) are  for maximum estimated reduction.  Land costs not included</t>
      </text>
    </comment>
    <comment ref="K5" authorId="2" shapeId="0" xr:uid="{60F8295A-7C03-430E-A769-BC1BD5ACDB6B}">
      <text>
        <t>[Threaded comment]
Your version of Excel allows you to read this threaded comment; however, any edits to it will get removed if the file is opened in a newer version of Excel. Learn more: https://go.microsoft.com/fwlink/?linkid=870924
Comment:
    Nomination 257-2</t>
      </text>
    </comment>
    <comment ref="M7" authorId="3" shapeId="0" xr:uid="{33E52339-F33F-4CC7-B99A-212862F76F51}">
      <text>
        <t>[Threaded comment]
Your version of Excel allows you to read this threaded comment; however, any edits to it will get removed if the file is opened in a newer version of Excel. Learn more: https://go.microsoft.com/fwlink/?linkid=870924
Comment:
    cost is land acquisition cost only; construction cost TBD</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ction" type="104" refreshedVersion="0" background="1">
    <extLst>
      <ext xmlns:x15="http://schemas.microsoft.com/office/spreadsheetml/2010/11/main" uri="{DE250136-89BD-433C-8126-D09CA5730AF9}">
        <x15:connection id="Range-97a31b8e-86bd-40bf-880c-c8807c9eb162"/>
      </ext>
    </extLst>
  </connection>
  <connection id="2" xr16:uid="{00000000-0015-0000-FFFF-FFFF01000000}"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<sst xmlns="http://schemas.openxmlformats.org/spreadsheetml/2006/main" count="10500" uniqueCount="1316">
  <si>
    <t>Acres Treated</t>
  </si>
  <si>
    <t>Ongoing</t>
  </si>
  <si>
    <t>Completed</t>
  </si>
  <si>
    <t>Street Sweeping</t>
  </si>
  <si>
    <t>Row Labels</t>
  </si>
  <si>
    <t>Grand Total</t>
  </si>
  <si>
    <t>Project Type</t>
  </si>
  <si>
    <t xml:space="preserve">Structural </t>
  </si>
  <si>
    <t>Structural,  Non-structural, or Trade</t>
  </si>
  <si>
    <t>Deadline (if applicable)</t>
  </si>
  <si>
    <t>TN Reduction (kg/yr)</t>
  </si>
  <si>
    <t>TP Reduction (kg/yr)</t>
  </si>
  <si>
    <t>Education Efforts</t>
  </si>
  <si>
    <t>SE Pipe Replacement</t>
  </si>
  <si>
    <t>CC-10</t>
  </si>
  <si>
    <t>Freshwater Canal Detention</t>
  </si>
  <si>
    <t>CC-11</t>
  </si>
  <si>
    <t>Freshwater Canal Irrigation</t>
  </si>
  <si>
    <t>CC-12</t>
  </si>
  <si>
    <t>CC-13</t>
  </si>
  <si>
    <t>Billy's Creek Wetland</t>
  </si>
  <si>
    <t>Future</t>
  </si>
  <si>
    <t>Ford Street Preserve</t>
  </si>
  <si>
    <t>FM-10</t>
  </si>
  <si>
    <t>Riverfront Development Phase 1</t>
  </si>
  <si>
    <t>Weir Elevation Improvements</t>
  </si>
  <si>
    <t>Jim Flemming Eco-Park</t>
  </si>
  <si>
    <t>Mirror Lake Phase I</t>
  </si>
  <si>
    <t>Lee County</t>
  </si>
  <si>
    <t>Yellow Fever Creek Preserve</t>
  </si>
  <si>
    <t>Billy's Creek Preserve</t>
  </si>
  <si>
    <t>Six Mile Cypress Preserve</t>
  </si>
  <si>
    <t>Bob Jane's Preserve</t>
  </si>
  <si>
    <t>Buckingham Trails Preserve</t>
  </si>
  <si>
    <t>Deep Lagoon Preserve</t>
  </si>
  <si>
    <t>Hickory Swamp Preserve</t>
  </si>
  <si>
    <t>Orange River Preserve</t>
  </si>
  <si>
    <t>LC-10</t>
  </si>
  <si>
    <t>Prairie Pines Preserve</t>
  </si>
  <si>
    <t>LC-11</t>
  </si>
  <si>
    <t>Telegraph Creek Preserve</t>
  </si>
  <si>
    <t>LC-12</t>
  </si>
  <si>
    <t>West Marsh Preserve</t>
  </si>
  <si>
    <t>LC-13</t>
  </si>
  <si>
    <t>LC-15</t>
  </si>
  <si>
    <t>LC-16</t>
  </si>
  <si>
    <t>LC-17</t>
  </si>
  <si>
    <t>LC-18</t>
  </si>
  <si>
    <t>Whiskey Creek Weir Reconstruction</t>
  </si>
  <si>
    <t>LC-19</t>
  </si>
  <si>
    <t>LC-20</t>
  </si>
  <si>
    <t>Powell Creek Filter Marsh</t>
  </si>
  <si>
    <t>Created wetland areas, boardwalks, and trails and a stabilized crossing of Powell Creek.</t>
  </si>
  <si>
    <t>LC-21</t>
  </si>
  <si>
    <t>Nalle Grade Stormwater Park</t>
  </si>
  <si>
    <t>LC-22</t>
  </si>
  <si>
    <t>LC-23</t>
  </si>
  <si>
    <t>Popash Creek Restoration</t>
  </si>
  <si>
    <t>Charlotte County</t>
  </si>
  <si>
    <t>FDOT</t>
  </si>
  <si>
    <t>Existing Stormwater Dry Ponds</t>
  </si>
  <si>
    <t>Ditch Blocked Swales</t>
  </si>
  <si>
    <t>Existing Stormwater Wet Ponds</t>
  </si>
  <si>
    <t>CC-14</t>
  </si>
  <si>
    <t>FM-11</t>
  </si>
  <si>
    <t>Carrell Canal Water Quality Retrofit</t>
  </si>
  <si>
    <t>LC-24</t>
  </si>
  <si>
    <t>CC-15</t>
  </si>
  <si>
    <t>Septic to Sewer Phase Out Project</t>
  </si>
  <si>
    <t>LC-25</t>
  </si>
  <si>
    <t>LC-26</t>
  </si>
  <si>
    <t>Latitude</t>
  </si>
  <si>
    <t>Location</t>
  </si>
  <si>
    <t>Longitude</t>
  </si>
  <si>
    <t>Partners</t>
  </si>
  <si>
    <t>Start Date</t>
  </si>
  <si>
    <t>Prior to 2012</t>
  </si>
  <si>
    <t>City of Cape Coral</t>
  </si>
  <si>
    <t>City of Fort Myers</t>
  </si>
  <si>
    <t>FYN, fertilizer ordinance, pamphlets, PSAs, website, illicit discharge program.</t>
  </si>
  <si>
    <t>Installed raised inlets to provide additional water quality in roadside swales.</t>
  </si>
  <si>
    <t>Pump stormwater stored in canals into irrigation supply network.</t>
  </si>
  <si>
    <t>Street sweeping of downtown area, alleys, and commercial roads.</t>
  </si>
  <si>
    <t>Two detention areas, five filter marshes, and golf course renovation.</t>
  </si>
  <si>
    <t>Replacement of weir structures at increase control elevations to provide additional attenuation.</t>
  </si>
  <si>
    <t>Land purchase and conversion to conservation land use.</t>
  </si>
  <si>
    <t>Hydrologic restoration and enhancement, water conservation, wildlife habitat enhancement, and flood protection for surrounding area.</t>
  </si>
  <si>
    <t>Pamphlets, PSAs, illicit discharge program.</t>
  </si>
  <si>
    <t>SE pipe replacement.</t>
  </si>
  <si>
    <t>Exfiltration trenches.</t>
  </si>
  <si>
    <t>Filter marsh park.</t>
  </si>
  <si>
    <t>Swales without blocks.</t>
  </si>
  <si>
    <t>Swales with ditch blocks.</t>
  </si>
  <si>
    <t>Retention lake weir repairs to restore originally intended design and operation.</t>
  </si>
  <si>
    <t xml:space="preserve"> Year Added </t>
  </si>
  <si>
    <t>Original Project Status</t>
  </si>
  <si>
    <t>FDACS</t>
  </si>
  <si>
    <t xml:space="preserve">Total TN Required Reductions Achieved (%) </t>
  </si>
  <si>
    <t>Replacement of weir structures and redirection of flows into filter marsh.</t>
  </si>
  <si>
    <t>Phase out septic tanks in Southwest 6/7 area.</t>
  </si>
  <si>
    <t>S0721</t>
  </si>
  <si>
    <t>LA-MSID (formerly ECWCD)</t>
  </si>
  <si>
    <t>Lucaya CDD</t>
  </si>
  <si>
    <t>Tidal Caloosahatchee</t>
  </si>
  <si>
    <t>CC-16</t>
  </si>
  <si>
    <t>Catch Basin Cleanout</t>
  </si>
  <si>
    <t>Control Structure</t>
  </si>
  <si>
    <t>Fertilizer Cessation</t>
  </si>
  <si>
    <t>Wet Detention Pond</t>
  </si>
  <si>
    <t>Land Acquisition</t>
  </si>
  <si>
    <t>Exfiltration Trench</t>
  </si>
  <si>
    <t>Increase canal control elevations and local groundwater levels by constructing 25 new weirs.</t>
  </si>
  <si>
    <t>Sunniland/Nine Mile Run Drainage Improvements</t>
  </si>
  <si>
    <t>Consultant is working on the hydrologic model development.</t>
  </si>
  <si>
    <t>TBD</t>
  </si>
  <si>
    <t>LC-27</t>
  </si>
  <si>
    <t>Hydrologic Restoration</t>
  </si>
  <si>
    <t>Restoration of historical flows and enhancement and restoration of wetlands.</t>
  </si>
  <si>
    <t>Planned</t>
  </si>
  <si>
    <t>Construction in 2017</t>
  </si>
  <si>
    <t>LC-28</t>
  </si>
  <si>
    <t>Basin study to identify pollutant sources and identify further actions to reach reduction goals.</t>
  </si>
  <si>
    <t>LC-29</t>
  </si>
  <si>
    <t>Caloosahatchee River-North Fort Myers Nutrient and Bacteria Source Identification Study</t>
  </si>
  <si>
    <t>Notes</t>
  </si>
  <si>
    <t>Detention pond.</t>
  </si>
  <si>
    <t>Hydrologic restoration.</t>
  </si>
  <si>
    <t>Dry retention and wet detention ponds.</t>
  </si>
  <si>
    <t>Stormwater Reuse</t>
  </si>
  <si>
    <t>Deep Lagoon Hydrologic Restoration</t>
  </si>
  <si>
    <t>Billy Creek Filter Marsh Park.</t>
  </si>
  <si>
    <t>Wetland rehydration and treatment.</t>
  </si>
  <si>
    <t>Materials from roadway and gutter sweeping.</t>
  </si>
  <si>
    <t>1. Final 2016 Annual Progress Report published on May 9, 2017. Metrics workbook "finalized" in accordance with final report on May 9, 2017 (the pre-final draft was routed to public on 2/20/17).</t>
  </si>
  <si>
    <t>Prairie Pines Preserve Restoration</t>
  </si>
  <si>
    <t>Project types, which have been updated for consistency with the revised list dated 4/27/17.</t>
  </si>
  <si>
    <t>2. Noted updates to the metrics that were not reflected in the project tables in the final report (Appendix A):</t>
  </si>
  <si>
    <t>3. Updated metrics workbook on 6/2/17 to assign reductions for LC-25.</t>
  </si>
  <si>
    <t>4. Updated metrics workbook on 7/10/17 to reflect Cape Coral's updates for 5-year review report.</t>
  </si>
  <si>
    <t>CH-01</t>
  </si>
  <si>
    <t>CC-01</t>
  </si>
  <si>
    <t>CC-02</t>
  </si>
  <si>
    <t>CC-03</t>
  </si>
  <si>
    <t>CC-04</t>
  </si>
  <si>
    <t>CC-05</t>
  </si>
  <si>
    <t>CC-06</t>
  </si>
  <si>
    <t>CC-07</t>
  </si>
  <si>
    <t>CC-08</t>
  </si>
  <si>
    <t>CC-09</t>
  </si>
  <si>
    <t>FM-01</t>
  </si>
  <si>
    <t>FM-02</t>
  </si>
  <si>
    <t>FM-03</t>
  </si>
  <si>
    <t>FM-04</t>
  </si>
  <si>
    <t>FM-05</t>
  </si>
  <si>
    <t>FM-06</t>
  </si>
  <si>
    <t>FM-07</t>
  </si>
  <si>
    <t>FM-08</t>
  </si>
  <si>
    <t>FM-09</t>
  </si>
  <si>
    <t>FDACS-01</t>
  </si>
  <si>
    <t>FDOT-01</t>
  </si>
  <si>
    <t>FDOT-02</t>
  </si>
  <si>
    <t>FDOT-03</t>
  </si>
  <si>
    <t>FDOT-04</t>
  </si>
  <si>
    <t>FDOT-05</t>
  </si>
  <si>
    <t>FDOT-06</t>
  </si>
  <si>
    <t>FDOT-07</t>
  </si>
  <si>
    <t>FDOT-08</t>
  </si>
  <si>
    <t>LC-01</t>
  </si>
  <si>
    <t>LC-02</t>
  </si>
  <si>
    <t>LC-03</t>
  </si>
  <si>
    <t>LC-04</t>
  </si>
  <si>
    <t>LC-05</t>
  </si>
  <si>
    <t>LC-06</t>
  </si>
  <si>
    <t>LC-07</t>
  </si>
  <si>
    <t>LC-08</t>
  </si>
  <si>
    <t>LC-09</t>
  </si>
  <si>
    <t>LU-01</t>
  </si>
  <si>
    <t>Street sweeping.</t>
  </si>
  <si>
    <t>N/A</t>
  </si>
  <si>
    <t>Mirror Lake Phase 2</t>
  </si>
  <si>
    <t>In Design</t>
  </si>
  <si>
    <t>LA-MSID/ SFWMD</t>
  </si>
  <si>
    <t>LA-MSID/ FDOT/ Lee County</t>
  </si>
  <si>
    <t>SFWMD</t>
  </si>
  <si>
    <t>FDOT/ Lee County</t>
  </si>
  <si>
    <t>S0727</t>
  </si>
  <si>
    <t>DEP</t>
  </si>
  <si>
    <t>S0895</t>
  </si>
  <si>
    <t>LC-30</t>
  </si>
  <si>
    <t>LC-31</t>
  </si>
  <si>
    <t>LC-32</t>
  </si>
  <si>
    <t>LC-33</t>
  </si>
  <si>
    <t>LC-34</t>
  </si>
  <si>
    <t>LC-35</t>
  </si>
  <si>
    <t>LC-36</t>
  </si>
  <si>
    <t>LC-37</t>
  </si>
  <si>
    <t>LC-38</t>
  </si>
  <si>
    <t>LC-39</t>
  </si>
  <si>
    <t>LC-40</t>
  </si>
  <si>
    <t>LC-41</t>
  </si>
  <si>
    <t>Six Mile Cypress Preserve North Hydrologic Restoration</t>
  </si>
  <si>
    <t>Fichter's Creek Restoration Project</t>
  </si>
  <si>
    <t>Spanish Creek at Daniel's Preserve Restoration</t>
  </si>
  <si>
    <t>Deep Lagoon Pollutant Load Reduction Phase 2-Watershed Analysis Report</t>
  </si>
  <si>
    <t>Caloosahatchee Tributary Canal Rehabilitation: L-3</t>
  </si>
  <si>
    <t>Bob Jane's Preserve Environmental Restoration</t>
  </si>
  <si>
    <t>Ditch blocks and native plantings in conveyances.</t>
  </si>
  <si>
    <t>Restoration of hydroperiod and water quality in Fichter's Creek.</t>
  </si>
  <si>
    <t>Reshaping canal banks, littoral planting, and possible addition of control structure(s).</t>
  </si>
  <si>
    <t>WWTF Diversion to Reuse</t>
  </si>
  <si>
    <t>S0894</t>
  </si>
  <si>
    <t>LP3602B</t>
  </si>
  <si>
    <t>Lee County/ LA-MSID</t>
  </si>
  <si>
    <t>Upstream of Estuary BMAP</t>
  </si>
  <si>
    <t>Filter Marshes in Priority Watersheds</t>
  </si>
  <si>
    <t>Six Mile Cypress Slough Rehydration</t>
  </si>
  <si>
    <t>GS-10 Caloosahatchee Crosslink Project</t>
  </si>
  <si>
    <t>Pet Waste Ordinance</t>
  </si>
  <si>
    <t>Lee Civic Center Revitalization</t>
  </si>
  <si>
    <t>Aquatic Vegetation Harvesting</t>
  </si>
  <si>
    <t>F-01</t>
  </si>
  <si>
    <t>F-02</t>
  </si>
  <si>
    <t>F-03</t>
  </si>
  <si>
    <t>F-04</t>
  </si>
  <si>
    <t>F-05</t>
  </si>
  <si>
    <t>F-06</t>
  </si>
  <si>
    <t>F-07</t>
  </si>
  <si>
    <t>F-08</t>
  </si>
  <si>
    <t>F-09</t>
  </si>
  <si>
    <t>Filter marshes in priority tributaries.</t>
  </si>
  <si>
    <t>Pervious pavers, vegetated natural buffers, rain gardens, and pond rehabilitation.</t>
  </si>
  <si>
    <t>Aquatic vegetation harvesting.</t>
  </si>
  <si>
    <t>Olga Shores Preserve and Filter Marsh</t>
  </si>
  <si>
    <t>Regional Stormwater Treatment</t>
  </si>
  <si>
    <t>Regulations, Ordinances, and Guidelines</t>
  </si>
  <si>
    <t>WWTF Disposal Site</t>
  </si>
  <si>
    <t>Wastewater Service Area Expansion</t>
  </si>
  <si>
    <t>Non- structural</t>
  </si>
  <si>
    <r>
      <t xml:space="preserve">5. Updated metrics per Kevin Williams' email of 091417 for five-year review report and per latest SOP. </t>
    </r>
    <r>
      <rPr>
        <b/>
        <sz val="11"/>
        <color theme="1"/>
        <rFont val="Calibri"/>
        <family val="2"/>
        <scheme val="minor"/>
      </rPr>
      <t>Look at all projects and future projects tabs.</t>
    </r>
  </si>
  <si>
    <t>Grass Swales with Swale Blocks or Raised Culverts</t>
  </si>
  <si>
    <t>Stormwater System Rehabilitation</t>
  </si>
  <si>
    <t>Grass Swales without Swale Blocks or Raised Culverts</t>
  </si>
  <si>
    <t>S0871</t>
  </si>
  <si>
    <t>S0873</t>
  </si>
  <si>
    <t>6. Filled in contract # info for projects LC-32, 33, &amp; 35</t>
  </si>
  <si>
    <t xml:space="preserve">7. Changed on 10/6/17, the completion date from N/A or Not Provided to an annual/BMAP report completion date. </t>
  </si>
  <si>
    <t>Project Reductions</t>
  </si>
  <si>
    <t>9.Updated terms in all projects and future projects tab</t>
  </si>
  <si>
    <t>8. Consolidated Charlotte Co. education efforts to one line for consistency with other entity education effort projects.</t>
  </si>
  <si>
    <t>Funding Status</t>
  </si>
  <si>
    <t>10. Updated TN reduction and description for F-01 per Lee County request</t>
  </si>
  <si>
    <t>11. Edits from Linda Lord about project table content</t>
  </si>
  <si>
    <t>Installed riser on weir in freshwater canal system to provide additional retention volume in canals.</t>
  </si>
  <si>
    <t>Catch basin cleanouts from Caloosahatchee Watershed areas.</t>
  </si>
  <si>
    <t>Constructed wetland treatment system that removes pollutants from Ford Street Canal, which serves 811 acres of highly urbanized watershed.</t>
  </si>
  <si>
    <t>Harn's Marsh Phases I and II</t>
  </si>
  <si>
    <t>No longer fertilizing rights-of-way in watershed.</t>
  </si>
  <si>
    <t>Yellow Fever Creek – Gator Slough Transfer Facility</t>
  </si>
  <si>
    <t>BMAP Plan Development – Basin Study</t>
  </si>
  <si>
    <t>Closure of facility with direct discharge to Caloosahatchee.</t>
  </si>
  <si>
    <t>Hydrologic improvements in portion of preserve via berms, beaches, and ditch blocks.</t>
  </si>
  <si>
    <t>Hydrologic reconnection of watershed for water quality improvement. Reconnect flow ways in Popash Creek Preserve at the south end, terminating at Caloosahatchee River.</t>
  </si>
  <si>
    <t>Restoration of historical watershed boundaries and historical flow patterns, and rehydration of slough.</t>
  </si>
  <si>
    <t>Regional project to balance freshwater flows, improve regional water quality, restore habitat, and reduce TN load to Caloosahatchee.</t>
  </si>
  <si>
    <t>Pet waste ordinance to establich requirements for proper disposal of pet waste.</t>
  </si>
  <si>
    <t>Unfunded</t>
  </si>
  <si>
    <t>Reported cost is land acquisition only; construction cost TBD</t>
  </si>
  <si>
    <t>Fully funded</t>
  </si>
  <si>
    <t>Caloosahatchee Creeks Preserve</t>
  </si>
  <si>
    <t>12. Updated CC-10 TN reduction after discussion with Cape Coral, DEP, and Wood</t>
  </si>
  <si>
    <t>S0732</t>
  </si>
  <si>
    <t>S0893</t>
  </si>
  <si>
    <t>S0849</t>
  </si>
  <si>
    <t>LP6838</t>
  </si>
  <si>
    <t>S0606</t>
  </si>
  <si>
    <t>13. Changes reflect 10/16-10/30 comment period for the 5YR</t>
  </si>
  <si>
    <t>Swales without Ditch Blocks</t>
  </si>
  <si>
    <t>North Fort Myers Surface Water Restoration: Powell Creek Extension and Lost Lane Levee</t>
  </si>
  <si>
    <t>Caloosahatchee Creeks Preserve–West Restoration</t>
  </si>
  <si>
    <t>Year</t>
  </si>
  <si>
    <t>5-Year Milestone</t>
  </si>
  <si>
    <t>10-Year Milestone</t>
  </si>
  <si>
    <t>15-Year Milestone</t>
  </si>
  <si>
    <t>BMP Treatment Train</t>
  </si>
  <si>
    <t>16. 12/1/2017: Updated Project Type column to match crosswalk project types.</t>
  </si>
  <si>
    <t>15. 12/5/2017: Edits from Linda Lord about project table content</t>
  </si>
  <si>
    <t>14. 11/13/2017: CC-10 &amp; CC-11 TN reductions verified</t>
  </si>
  <si>
    <t>16. 12/22/2017: Edits from Carla Gaskin (Sec. Office)</t>
  </si>
  <si>
    <t>Unit 23–SE 8th Street drainage.</t>
  </si>
  <si>
    <t>Manuel's Branch Siltation Structures</t>
  </si>
  <si>
    <t>Manuel's Branch Control Structures</t>
  </si>
  <si>
    <t>Aquifer Benefit and Storage for Orange River Basin (Southwest Lehigh Weirs)</t>
  </si>
  <si>
    <t xml:space="preserve">North East Caloosahatchee Tributaries Restoration Project </t>
  </si>
  <si>
    <t>17. 1/31/18: Stakeholder edits from the 2017 STAR RFI</t>
  </si>
  <si>
    <t>S-AW-2 Weir Elevation Improvements</t>
  </si>
  <si>
    <t>LU-02</t>
  </si>
  <si>
    <t>FDOT-09</t>
  </si>
  <si>
    <t>FDOT-10</t>
  </si>
  <si>
    <t>FDOT-11</t>
  </si>
  <si>
    <t>FDOT-12</t>
  </si>
  <si>
    <t>FDOT-13</t>
  </si>
  <si>
    <t>FDOT-14</t>
  </si>
  <si>
    <t>FDOT-15</t>
  </si>
  <si>
    <t>FDOT-16</t>
  </si>
  <si>
    <t>FDOT-17</t>
  </si>
  <si>
    <t>FDOT-18</t>
  </si>
  <si>
    <t>FDOT-19</t>
  </si>
  <si>
    <t>FDOT-20</t>
  </si>
  <si>
    <t>FDOT-21</t>
  </si>
  <si>
    <t>FDOT-22</t>
  </si>
  <si>
    <t>FDOT-23</t>
  </si>
  <si>
    <t>FDOT-24</t>
  </si>
  <si>
    <t>FDOT-25</t>
  </si>
  <si>
    <t>Conveyance improvements to increase residence time, rehydrate offsite wetlands on adjacent properties, and accommodate offsite flows.</t>
  </si>
  <si>
    <t>Hydrologic restoration to more natural flow regime by increasing water storage on property and improving both onsite and off-site flows.</t>
  </si>
  <si>
    <t>Watershed study to investigate interactions between onsite sewage treatment and disposal systems (OSTDS), groundwater, and surface water in Caloosahatchee Estuary.</t>
  </si>
  <si>
    <t>C-43 Water Quality Treatment and Testing Facility Project (*study/land acquisition)</t>
  </si>
  <si>
    <t>18. 2/1/18: Awaiting reduction verification (LC-16 &amp; -21) --&gt; Verified 2/2/18</t>
  </si>
  <si>
    <t>FM-12</t>
  </si>
  <si>
    <t>Aquashores Neighborhood</t>
  </si>
  <si>
    <t>FM-13</t>
  </si>
  <si>
    <t>Billy &amp; High Street Drainage Improvement</t>
  </si>
  <si>
    <t>Underway</t>
  </si>
  <si>
    <t>FM-14</t>
  </si>
  <si>
    <t>FM-15</t>
  </si>
  <si>
    <t>Midtown Redevelopment</t>
  </si>
  <si>
    <t>FM-16</t>
  </si>
  <si>
    <t>19. 2/2/18: FM-03,07,12 are TBD because Stormceptor Units need further research for reduction</t>
  </si>
  <si>
    <t>S-H-2 Weir Replacement</t>
  </si>
  <si>
    <t>Hendry Canal Widening</t>
  </si>
  <si>
    <t>20. Cathy updated All Projects Tab to December 2017 SOP in terms of organization, wording, etc.</t>
  </si>
  <si>
    <t>Florida Yards and Neighborhoods (FYN) Program; landscape, irrigation, and fertilizer ordinances; pamphlets, public service announcements (PSAs), website, inspection/illicit discharge program.</t>
  </si>
  <si>
    <t>Study</t>
  </si>
  <si>
    <t>Dry Detention Pond</t>
  </si>
  <si>
    <t>City</t>
  </si>
  <si>
    <t>Florida Legislature</t>
  </si>
  <si>
    <t>County</t>
  </si>
  <si>
    <t>County/ City of Fort Myers</t>
  </si>
  <si>
    <t>County/ SFWMD/ FDOT</t>
  </si>
  <si>
    <t>County/ DEP/ SFWMD</t>
  </si>
  <si>
    <t>County/ LA-MSID</t>
  </si>
  <si>
    <t>Neighborhood improvement project.</t>
  </si>
  <si>
    <t>Neighborhood improvement projects to be done in phases.</t>
  </si>
  <si>
    <t>Ridgewood Park Neighborhood Improvements</t>
  </si>
  <si>
    <t>Area improvements including water quality improvements.</t>
  </si>
  <si>
    <t>Edgewood Neighborhood Improvements</t>
  </si>
  <si>
    <t>Replace failed fabriform weir.</t>
  </si>
  <si>
    <t>Widen three miles of Hendry Ext. Canal. Create additional stormwater storage within the canal system.</t>
  </si>
  <si>
    <t>Discontinue Fertilization</t>
  </si>
  <si>
    <t>(Multiple Items)</t>
  </si>
  <si>
    <t>SW - 1 Swale/ Inlet Replacement</t>
  </si>
  <si>
    <t>SE - 1 Swale/ Inlet Replacement</t>
  </si>
  <si>
    <t>SW - 2 Swale/ Inlet Replacement</t>
  </si>
  <si>
    <t>SW - 3 Swale/ Inlet Replacement</t>
  </si>
  <si>
    <t>SW - 4 Swale/ Inlet Replacement</t>
  </si>
  <si>
    <t>SW - 5 Swale/ Inlet Replacement</t>
  </si>
  <si>
    <t>Unit 23 – SE 8th Street Drainage</t>
  </si>
  <si>
    <t>Weir #1 Elevation/ Basin 15</t>
  </si>
  <si>
    <t>Weir #6 Elevation/ Basin 12</t>
  </si>
  <si>
    <t>Replacement of weir structures at increased control elevations to provide additional attenuation.</t>
  </si>
  <si>
    <t>DEP/ FDOT</t>
  </si>
  <si>
    <t>NRCS/ FEMA/ LA-MSID</t>
  </si>
  <si>
    <t>LA-MSID/ FDOT</t>
  </si>
  <si>
    <t>Dry detention pond; Facility ID = 12010-3505-01.</t>
  </si>
  <si>
    <t>Dry detention pond; Facility ID = 12060-3530-01.</t>
  </si>
  <si>
    <t>Dry detention pond; Facility ID = 12060-3530-02.</t>
  </si>
  <si>
    <t>F12001-3516-01.</t>
  </si>
  <si>
    <t>F12001-3516-02.</t>
  </si>
  <si>
    <t>F12040-3514-01.</t>
  </si>
  <si>
    <t>F12040-3515-01.</t>
  </si>
  <si>
    <t>F12040-3515-02.</t>
  </si>
  <si>
    <t>F12040-3515-03.</t>
  </si>
  <si>
    <t>F12040-3515-04.</t>
  </si>
  <si>
    <t>F12060-3530-03.</t>
  </si>
  <si>
    <t>F12060-3533-01.</t>
  </si>
  <si>
    <t>F12060-3533-02.</t>
  </si>
  <si>
    <t>F12060-3533-03.</t>
  </si>
  <si>
    <t>Wet detention pond. FM195705-1, Pond SMF 1A.</t>
  </si>
  <si>
    <t>Wet detention pond. FM195705-1, Pond SMF 1D.</t>
  </si>
  <si>
    <t>Wet detention pond. FM195705-1, Pond SMF 2B.</t>
  </si>
  <si>
    <t>Wet detention pond. FM195705-1, Pond SMF 4C.</t>
  </si>
  <si>
    <t>SFWMD/ National Oceanic and Atmospheric Administration (NOAA)</t>
  </si>
  <si>
    <t>County/ SFWMD</t>
  </si>
  <si>
    <t>County/ SFWMD/ NOAA</t>
  </si>
  <si>
    <t>Florida Communities Trust (FCT)</t>
  </si>
  <si>
    <t>FCT</t>
  </si>
  <si>
    <t>UF–IFAS Lee County Extension</t>
  </si>
  <si>
    <t>SFWMD/ U.S. Fish and Wildlife Service (FWS)</t>
  </si>
  <si>
    <t>County/ SFWMD/ FWS</t>
  </si>
  <si>
    <t>DEP/ SFWMD</t>
  </si>
  <si>
    <t>County/ DEP</t>
  </si>
  <si>
    <t>Waterway Estates Wastewater Treatment Facility (WWTF) Closure</t>
  </si>
  <si>
    <t>SFWMD/ FDOT</t>
  </si>
  <si>
    <t>Project to demonstrate and implement cost-effective, wetland-based strategies for reduction of dissolved organic nitrogen (DON).</t>
  </si>
  <si>
    <t>North Fort Myers Florida Power and Light (FPL) Feasibility Study</t>
  </si>
  <si>
    <t>DEP - $200,000</t>
  </si>
  <si>
    <t>Replacement of failing water control structures (WCS) and reconnection of flow-ways to Hickory Swamp and Buckingham Trails Preserve.</t>
  </si>
  <si>
    <t>Education/ Fertilizer</t>
  </si>
  <si>
    <t>Education/ Pet Waste</t>
  </si>
  <si>
    <t>Not provided</t>
  </si>
  <si>
    <t>21. 7/25/18: Added Access database tab- LS/WW.</t>
  </si>
  <si>
    <t>22. 100318- Modified load reductions tab to include entity-specific load reductions, removed Access database tab, and changed  the name of the STAR table tab to Summary Info.</t>
  </si>
  <si>
    <t>Swales with ditch blocks. Facility ID = 12020-3538-02.</t>
  </si>
  <si>
    <t>Hydrodynamic Separators</t>
  </si>
  <si>
    <t>23. 022719 Tina updated some project types to comply with the SOP. Changes are highlighted in blue.</t>
  </si>
  <si>
    <r>
      <t xml:space="preserve">24. 030419 Tiffany entered the stakeholder updates for STAR 2.0 and checked SOPs. Projects with changes have </t>
    </r>
    <r>
      <rPr>
        <sz val="11"/>
        <color rgb="FFFF0000"/>
        <rFont val="Calibri"/>
        <family val="2"/>
        <scheme val="minor"/>
      </rPr>
      <t>red project numbers</t>
    </r>
    <r>
      <rPr>
        <sz val="11"/>
        <color theme="1"/>
        <rFont val="Calibri"/>
        <family val="2"/>
        <scheme val="minor"/>
      </rPr>
      <t>.</t>
    </r>
  </si>
  <si>
    <t>LeadEntity</t>
  </si>
  <si>
    <t>ProjectNumber</t>
  </si>
  <si>
    <t>ProjectName</t>
  </si>
  <si>
    <t>ProjectDescription</t>
  </si>
  <si>
    <t>ProjectType</t>
  </si>
  <si>
    <t>ProjectStatus</t>
  </si>
  <si>
    <t>EstimatedCompletionDate</t>
  </si>
  <si>
    <t>TNReduction(lbs/yr)</t>
  </si>
  <si>
    <t>TPReduction(lbs/yr)</t>
  </si>
  <si>
    <t>AcresTreated</t>
  </si>
  <si>
    <t>CostEstimate</t>
  </si>
  <si>
    <t>CostAnnualO&amp;M</t>
  </si>
  <si>
    <t>FundingSource</t>
  </si>
  <si>
    <t>FundingAmount</t>
  </si>
  <si>
    <t>DEPContractAgreementNumber</t>
  </si>
  <si>
    <t>CC-17</t>
  </si>
  <si>
    <t>Unit 8 – SE 47th Terrace Streetscape Improvements Club Square</t>
  </si>
  <si>
    <t>CC-18</t>
  </si>
  <si>
    <t>Ft Myers Cape Coral Wastewater Pipeline</t>
  </si>
  <si>
    <t>Suntree Technologies Skimboss and Bold and Gold Media - Club Square.</t>
  </si>
  <si>
    <t>Elimination of wastewater treatment plant effluent discharges to the river from Ft Myers by conveying wastewater to Cape Coral for reuse in Cape Coral water reclamation system.</t>
  </si>
  <si>
    <t>FDOT District 1</t>
  </si>
  <si>
    <t>FDOT-26</t>
  </si>
  <si>
    <t>FDOT-27</t>
  </si>
  <si>
    <t>SR 82 from Lee Blvd to Shawnee Road</t>
  </si>
  <si>
    <t>Stormwater Treatment Areas (STAs)</t>
  </si>
  <si>
    <t>FDOT/ DEP/ LA-MSID</t>
  </si>
  <si>
    <t>LC-42</t>
  </si>
  <si>
    <t>LC-43</t>
  </si>
  <si>
    <t>Sum of TNReduction(lbs/yr)</t>
  </si>
  <si>
    <t>Count of ProjectStatus</t>
  </si>
  <si>
    <t>Sum of CostEstimate</t>
  </si>
  <si>
    <t>Sum of CostAnnualO&amp;M</t>
  </si>
  <si>
    <t>Sum of TPReduction(lbs/yr)</t>
  </si>
  <si>
    <t xml:space="preserve">25. 031419 Tina corrected date for FDOT projects, updated project charts, load reductions, compliance, and summary info tabs. Added pivot table to Progress Charts after correcting dates and reconfigured all charts. Removed colors for markers (per Greg DeAngelo from STAR 2.0 call). Resent FDOT workbook for Access upload. </t>
  </si>
  <si>
    <t>Structural/Non Structural</t>
  </si>
  <si>
    <t>100% On-site Retention</t>
  </si>
  <si>
    <t>Structural</t>
  </si>
  <si>
    <t>Agricultural BMPs</t>
  </si>
  <si>
    <t>Use Past Designation</t>
  </si>
  <si>
    <t>Non-structural</t>
  </si>
  <si>
    <t>Baffle Boxes- Second Generation</t>
  </si>
  <si>
    <t>Baffle Boxes- Second Generation with Media</t>
  </si>
  <si>
    <t>Biosorption Activated Media (BAM)</t>
  </si>
  <si>
    <t>Bioswales</t>
  </si>
  <si>
    <t>BMP Cleanout</t>
  </si>
  <si>
    <t>Catch Basin Inserts/Inlet Filter Cleanout</t>
  </si>
  <si>
    <t>Creating/ Enhancing Living Shoreline</t>
  </si>
  <si>
    <t>Creating/ Enhancing Oyster Reefs</t>
  </si>
  <si>
    <t>Credit Trade</t>
  </si>
  <si>
    <t>Trade</t>
  </si>
  <si>
    <t>Dairy Remediation</t>
  </si>
  <si>
    <t>Decommission/ Abandonment</t>
  </si>
  <si>
    <t>Denitrification Walls</t>
  </si>
  <si>
    <t>Dispersed Water Management (DWM)</t>
  </si>
  <si>
    <t>Enhanced Public Education</t>
  </si>
  <si>
    <t>Exotic Vegetation Removal</t>
  </si>
  <si>
    <t>Fertilizer Reduction</t>
  </si>
  <si>
    <t>Fish Harvesting</t>
  </si>
  <si>
    <t>Floating Islands/ Managed Aquatic Plant Systems (MAPS)</t>
  </si>
  <si>
    <t>Golf Course or Sports Field BMPs</t>
  </si>
  <si>
    <t>Grass swales with swale blocks or raised culverts</t>
  </si>
  <si>
    <t>Grass swales without swale blocks or raised culverts</t>
  </si>
  <si>
    <t>Hybrid wetland treatment technology (HWTT)</t>
  </si>
  <si>
    <t>Impoundment</t>
  </si>
  <si>
    <t>Industrial Facility Upgrades</t>
  </si>
  <si>
    <t>Land Preservation</t>
  </si>
  <si>
    <t>Land Use Change</t>
  </si>
  <si>
    <t>LID- Green Roofs</t>
  </si>
  <si>
    <t>LID- Other</t>
  </si>
  <si>
    <t>LID- Rain Gardens</t>
  </si>
  <si>
    <t>LID- Tree Boxes/Tree Wells</t>
  </si>
  <si>
    <t>Macroalgal Harvesting</t>
  </si>
  <si>
    <t>Monitoring/Data Collection</t>
  </si>
  <si>
    <t>Muck Removal/Restoration Dredging</t>
  </si>
  <si>
    <t>Natural Wetlands as Filters</t>
  </si>
  <si>
    <t>Non-contributing Basin</t>
  </si>
  <si>
    <t>Off-line Retention BMPs</t>
  </si>
  <si>
    <t>On-line Retention BMPs</t>
  </si>
  <si>
    <t>Onsite Sewage Treatment and Disposal System (OSTDS) Enhancement</t>
  </si>
  <si>
    <t>OSTDS Phase Out</t>
  </si>
  <si>
    <t>Plugging Artesian Wells</t>
  </si>
  <si>
    <t>Retention/Detention BMP Retrofit with Nutrient Reducing Media</t>
  </si>
  <si>
    <t>Sanitary Sewer and Wastewater Treatment Facility (WWTF) Maintenance</t>
  </si>
  <si>
    <t>Sanitary Sewer Inspections</t>
  </si>
  <si>
    <t>SAV Planting</t>
  </si>
  <si>
    <t>Shoreline Stabilization</t>
  </si>
  <si>
    <t>Stormwater Aeration System</t>
  </si>
  <si>
    <t>Turbidity Reducing Polymers (e.g., Floc logs ®)</t>
  </si>
  <si>
    <t>Vegetated Buffers</t>
  </si>
  <si>
    <t>Wetland Restoration</t>
  </si>
  <si>
    <t>WWTF Nutrient Reduction</t>
  </si>
  <si>
    <t>WWTF Upgrade</t>
  </si>
  <si>
    <t>Year Added</t>
  </si>
  <si>
    <t>Regulation of freshwater canals through existing control structures.</t>
  </si>
  <si>
    <t>Installation of StormceptorsTM.</t>
  </si>
  <si>
    <t>Installation of two StormceptorsTM.</t>
  </si>
  <si>
    <t>LA-MSID</t>
  </si>
  <si>
    <t>State Road (SR) 78 Project</t>
  </si>
  <si>
    <t>Wetland creation, addition of control structures, berms, berm breaches to connect natural and created wetlands, and restoration of historical hydrologic conditions to reduce discharge into Caloosahatchee River.</t>
  </si>
  <si>
    <t>Creation and enhancement of wetland marsh ecosystem, including hydraulic connection for water quality improvement and stormwater attenuation.</t>
  </si>
  <si>
    <t>Restoration of wetland hydroperiod and sheet flow attenuation.</t>
  </si>
  <si>
    <t>Study to identify areas of high nutrient loads and potential BMPs to improve water quality and reduce flooding.</t>
  </si>
  <si>
    <t>Bob Janes Preserve Restoration Feasibility Study</t>
  </si>
  <si>
    <t>GS-10</t>
  </si>
  <si>
    <t>UF-IFAS</t>
  </si>
  <si>
    <t>NRCS/ FEMA</t>
  </si>
  <si>
    <t>DEP - $1,224,800/ FDOT - $1,903,200</t>
  </si>
  <si>
    <t>LA-MSID - $300,000/ SFWMD - $200,000</t>
  </si>
  <si>
    <t>LA-MSID - $2,368,300/ FDOT - $5,000,000/ Lee County - $4,631,700</t>
  </si>
  <si>
    <t>DEP - $500,000</t>
  </si>
  <si>
    <t>BMP Implementation and Verification</t>
  </si>
  <si>
    <t>West Harnes Marsh</t>
  </si>
  <si>
    <t>DEP - $89,964</t>
  </si>
  <si>
    <t>NF060</t>
  </si>
  <si>
    <t>Caloosahatchee Creeks East</t>
  </si>
  <si>
    <t>DEP - $300,000</t>
  </si>
  <si>
    <t>County/ City of Fort Myers/ DEP</t>
  </si>
  <si>
    <t>DEP - $400,000</t>
  </si>
  <si>
    <t>LPA0063</t>
  </si>
  <si>
    <t>LA-08</t>
  </si>
  <si>
    <t>LA-12</t>
  </si>
  <si>
    <t>LA-11</t>
  </si>
  <si>
    <t>LA-10</t>
  </si>
  <si>
    <t>LA-06</t>
  </si>
  <si>
    <t>LA-05</t>
  </si>
  <si>
    <t>LA-09</t>
  </si>
  <si>
    <t>LA-07</t>
  </si>
  <si>
    <t>LA-01</t>
  </si>
  <si>
    <t>LA-02</t>
  </si>
  <si>
    <t>LA-03</t>
  </si>
  <si>
    <t>LA-04</t>
  </si>
  <si>
    <t>Country Club Neighborhood Exfiltration Trenches</t>
  </si>
  <si>
    <t>Winkler Avenue Utility and Streetscape Improvements</t>
  </si>
  <si>
    <t>Brookhill Drive Utility Drainage Improvement</t>
  </si>
  <si>
    <t>Installation of 2 Nutrient Baffle Boxes in parallel along Brookhill Dr.</t>
  </si>
  <si>
    <t>All city roads with curb and gutter divided into four zones and swept at varying frequencies based on pollutant accumulation.</t>
  </si>
  <si>
    <t>Retention pond.</t>
  </si>
  <si>
    <t>Education/Pollution Prevention/Fertilizer</t>
  </si>
  <si>
    <t>CC-19</t>
  </si>
  <si>
    <t>City of Clewiston</t>
  </si>
  <si>
    <t>CW-01</t>
  </si>
  <si>
    <t>Clewiston Public Education</t>
  </si>
  <si>
    <t>City General Fund</t>
  </si>
  <si>
    <t>CW-02</t>
  </si>
  <si>
    <t>Clewiston Street Sweeping</t>
  </si>
  <si>
    <t>CW-03</t>
  </si>
  <si>
    <t>Clewiston Inlet Maintenance</t>
  </si>
  <si>
    <t>Agricultural Producers</t>
  </si>
  <si>
    <t>FDACS-02</t>
  </si>
  <si>
    <t>FDACS-03</t>
  </si>
  <si>
    <t>FDACS-04</t>
  </si>
  <si>
    <t>FDACS-05</t>
  </si>
  <si>
    <t>FDACS-06</t>
  </si>
  <si>
    <t>FDOT-28</t>
  </si>
  <si>
    <t>SR 82 from Shawnee Rd to Alabama Road</t>
  </si>
  <si>
    <t>FDOT/ LA-MSID</t>
  </si>
  <si>
    <t>FDOT-29</t>
  </si>
  <si>
    <t>SR 80 from Dalton Lane to CR 833 (408286-5 &amp;-6)</t>
  </si>
  <si>
    <t>FDOT-30</t>
  </si>
  <si>
    <t>SR 82 from Gator Slough Lane to SR 29 (430849-1)</t>
  </si>
  <si>
    <t>Glades County</t>
  </si>
  <si>
    <t>GC-01</t>
  </si>
  <si>
    <t>Education and Outreach</t>
  </si>
  <si>
    <t>FYN; landscaping, irrigation, and fertilizer ordinances; PSAs, pamphlets, website, and illicit discharge program.</t>
  </si>
  <si>
    <t>GC-02</t>
  </si>
  <si>
    <t>Glades County Caloosahatchee River &amp; Estuary Area Wastewater Grant</t>
  </si>
  <si>
    <t>Elimination of aging and/or failing existing septic systems in the City of Moore Haven. The Project also provides for additional conveyance capacity for additional homes and businesses.</t>
  </si>
  <si>
    <t>GC-03</t>
  </si>
  <si>
    <t>Glades County Business Park Wetlands</t>
  </si>
  <si>
    <t>LC-44</t>
  </si>
  <si>
    <t>Powell Creek / Old Bridge Park Restoration</t>
  </si>
  <si>
    <t>LC-45</t>
  </si>
  <si>
    <t>Deep Lagoon Preserve Water Quality Improvement Project</t>
  </si>
  <si>
    <t>Retention ponds, channel/ditch modifications, ditch blocks and pumped solutions.</t>
  </si>
  <si>
    <t>LC-46</t>
  </si>
  <si>
    <t>CALO</t>
  </si>
  <si>
    <t>BMAPID</t>
  </si>
  <si>
    <t>Olga Shores Preserve Hydrological Restoration</t>
  </si>
  <si>
    <t>Transfer water from Gator Slough to a new reservoir in Yellow Fever Creek and slowly releasing the flow into the headwaters of Yellow Fever Creek, extending wetland hydroperiods.</t>
  </si>
  <si>
    <t>Widening project provided extra nutrient removal in treatment ponds.</t>
  </si>
  <si>
    <t>Wetland maintenance and planting agreement.</t>
  </si>
  <si>
    <t>Filter marsh creation and BMPs.</t>
  </si>
  <si>
    <t>Yellow Fever Creek Hydrologic Restoration</t>
  </si>
  <si>
    <t>(blank)</t>
  </si>
  <si>
    <t>Coordinating Agency</t>
  </si>
  <si>
    <t>CA-01</t>
  </si>
  <si>
    <t>CA-02</t>
  </si>
  <si>
    <t>CA-03</t>
  </si>
  <si>
    <t>CA-04</t>
  </si>
  <si>
    <t>Filter marsh creation. Best Management Practices (BMPs).</t>
  </si>
  <si>
    <t>Education.</t>
  </si>
  <si>
    <t>26. 01292020- Updated projects/changes in orange for STAR 2019</t>
  </si>
  <si>
    <t xml:space="preserve">27. 021920 - Replaced all projects color coded tab with All Projects sheet provided by Bree. Check previous versions for prior color coding. </t>
  </si>
  <si>
    <t>Barron WCD</t>
  </si>
  <si>
    <t>BD-01</t>
  </si>
  <si>
    <t>Public Education and Outreach</t>
  </si>
  <si>
    <t>Updates on BMAP and requirements during annual landowner meetings.</t>
  </si>
  <si>
    <t>BD-02</t>
  </si>
  <si>
    <t>FDACS BMP Assistance</t>
  </si>
  <si>
    <t>Provide assistance to FDACS, as needed, to encourage landowners to enroll in BMPs.</t>
  </si>
  <si>
    <t>BD-03</t>
  </si>
  <si>
    <t>Nutrient Controls</t>
  </si>
  <si>
    <t>BD-04</t>
  </si>
  <si>
    <t>Canal/Ditch Bank Berms</t>
  </si>
  <si>
    <t>Minimize sediment transport by constructing berms on top of canal/ditch banks and promoting vegetation cover.</t>
  </si>
  <si>
    <t>BD-05</t>
  </si>
  <si>
    <t>Control Structures</t>
  </si>
  <si>
    <t>Annual maintenance of water control structures.</t>
  </si>
  <si>
    <t>C-43 West Basin Storage Reservoir</t>
  </si>
  <si>
    <t>Lake Hicpochee Storage and Shallow Hydrologic Enhancement, Phase 1</t>
  </si>
  <si>
    <t>Provide shallow water storage, rehydrate a portion of lake bed to promote habitat restoration storage, and increase capacity for ancillary water quality benefit. Project will deliver excess stormwater runoff from C-19 canal to north end of lake as needed.</t>
  </si>
  <si>
    <t>Building on Phase I efforts, project will expand regional storage in the Caloosahatchee River Watershed and reduce flows lost to tide on over 2,600 acres of District lands.</t>
  </si>
  <si>
    <t>BOMA Flow Equalization Basin (FEB)</t>
  </si>
  <si>
    <t>Expand regional storage in the Caloosahatchee River Watershed and reduce flows to the estuary on approximately 1,800 acres of SFWMD lands.</t>
  </si>
  <si>
    <t>CA-05</t>
  </si>
  <si>
    <t>C-43 Water Quality Treatment and Testing Facility, Phase II - Test Cells</t>
  </si>
  <si>
    <t>CA-06</t>
  </si>
  <si>
    <t>CA-07</t>
  </si>
  <si>
    <t>Mudge Ranch</t>
  </si>
  <si>
    <t>304-acre project area, which has an estimated water storage benefit of 396 ac-ft/yr.</t>
  </si>
  <si>
    <t>Clewiston Drainage District</t>
  </si>
  <si>
    <t>CD-01</t>
  </si>
  <si>
    <t>CD-02</t>
  </si>
  <si>
    <t>CD-03</t>
  </si>
  <si>
    <t>CD-04</t>
  </si>
  <si>
    <t>CD-05</t>
  </si>
  <si>
    <t>Aquatic Vegetation Control</t>
  </si>
  <si>
    <t>Mechanical removal of vegetation.</t>
  </si>
  <si>
    <t>County Line Drainage District</t>
  </si>
  <si>
    <t>CL-01</t>
  </si>
  <si>
    <t>CL-02</t>
  </si>
  <si>
    <t>CL-03</t>
  </si>
  <si>
    <t>CL-04</t>
  </si>
  <si>
    <t>Canal Cleaning Program</t>
  </si>
  <si>
    <t>Review and field evaluation of sediment accumulation and scheduling of removal, when necessary.</t>
  </si>
  <si>
    <t>CL-05</t>
  </si>
  <si>
    <t>Collins Slough WCD</t>
  </si>
  <si>
    <t>CS-01</t>
  </si>
  <si>
    <t>CS-02</t>
  </si>
  <si>
    <t>CS-03</t>
  </si>
  <si>
    <t>CS-04</t>
  </si>
  <si>
    <t>CS-05</t>
  </si>
  <si>
    <t>Cow Slough WCD</t>
  </si>
  <si>
    <t>CSW-01</t>
  </si>
  <si>
    <t>CSW-02</t>
  </si>
  <si>
    <t>CSW-03</t>
  </si>
  <si>
    <t>CSW-04</t>
  </si>
  <si>
    <t>CSW-05</t>
  </si>
  <si>
    <t>Devil's Garden WCD</t>
  </si>
  <si>
    <t>DG-01</t>
  </si>
  <si>
    <t>DG-02</t>
  </si>
  <si>
    <t>DG-03</t>
  </si>
  <si>
    <t>DG-04</t>
  </si>
  <si>
    <t>DG-05</t>
  </si>
  <si>
    <t>Disston Island Conservancy District</t>
  </si>
  <si>
    <t>DI-01</t>
  </si>
  <si>
    <t>DI-02</t>
  </si>
  <si>
    <t>DI-03</t>
  </si>
  <si>
    <t>DI-04</t>
  </si>
  <si>
    <t>Slow Velocity in the Main Canal</t>
  </si>
  <si>
    <t>Minimize sediment transport by slowing velocity in main canal near main discharge structure.</t>
  </si>
  <si>
    <t>DI-05</t>
  </si>
  <si>
    <t>FDOT-31</t>
  </si>
  <si>
    <t>Six Mile Cypress Preserve North Hydrologic Restoration project</t>
  </si>
  <si>
    <t>Hydrologic restoration project.</t>
  </si>
  <si>
    <t>Flaghole Drainage District</t>
  </si>
  <si>
    <t>FH-01</t>
  </si>
  <si>
    <t>FH-02</t>
  </si>
  <si>
    <t>FH-03</t>
  </si>
  <si>
    <t>FH-04</t>
  </si>
  <si>
    <t>Minimize sediment transport by slowing the velocity in main canal near main discharge structure.</t>
  </si>
  <si>
    <t>FH-05</t>
  </si>
  <si>
    <t>Gerber Groves WCD</t>
  </si>
  <si>
    <t>GG-01</t>
  </si>
  <si>
    <t>GG-02</t>
  </si>
  <si>
    <t>GG-03</t>
  </si>
  <si>
    <t>GG-04</t>
  </si>
  <si>
    <t>GG-05</t>
  </si>
  <si>
    <t>Hendry-Hilliard WCD</t>
  </si>
  <si>
    <t>HH-01</t>
  </si>
  <si>
    <t>HH-02</t>
  </si>
  <si>
    <t>HH-03</t>
  </si>
  <si>
    <t>HH-04</t>
  </si>
  <si>
    <t>HH-05</t>
  </si>
  <si>
    <t>NF047</t>
  </si>
  <si>
    <t>LPQ0011</t>
  </si>
  <si>
    <t>City of Moore Haven</t>
  </si>
  <si>
    <t>MH-01</t>
  </si>
  <si>
    <t>Glades County Caloosahatchee River and Estuary Area Wastewater Grant</t>
  </si>
  <si>
    <t>Elimination of aging and/or failing existing septic systems in City of Moore Haven. Project also provides for additional conveyance capacity for additional homes and businesses.</t>
  </si>
  <si>
    <t>Portico CDD</t>
  </si>
  <si>
    <t>PORT-01</t>
  </si>
  <si>
    <t>Education/Fertilizer</t>
  </si>
  <si>
    <t>PORT-02</t>
  </si>
  <si>
    <t>PORT-03</t>
  </si>
  <si>
    <t>Conservation Lands</t>
  </si>
  <si>
    <t>PORT-04</t>
  </si>
  <si>
    <t>Aeration systems on surface water management ponds A1, A2, A3, A4, A5, A9, A10, B1, and B2.</t>
  </si>
  <si>
    <t>Sugarland Drainage District</t>
  </si>
  <si>
    <t>SD-01</t>
  </si>
  <si>
    <t>SD-02</t>
  </si>
  <si>
    <t>SD-03</t>
  </si>
  <si>
    <t>SD-04</t>
  </si>
  <si>
    <t>SD-05</t>
  </si>
  <si>
    <t>Verandah East CDD</t>
  </si>
  <si>
    <t>VE-01</t>
  </si>
  <si>
    <t>FYN; landscape, irrigation, and fertilizer ordinances; pamphlets, PSAs, website, illicit discharge program; WETPLAN.</t>
  </si>
  <si>
    <t>Verandah West CDD</t>
  </si>
  <si>
    <t>VW-01</t>
  </si>
  <si>
    <t>LC-47</t>
  </si>
  <si>
    <t>Microbial Source Tracking in Lee County Waterways</t>
  </si>
  <si>
    <t>28. 022420- SOP checked metrics and project IDs for duplicates.</t>
  </si>
  <si>
    <t>Lake Hicpochee Storage and Shallow Hydrologic Enhancement Expansion</t>
  </si>
  <si>
    <t>Evaluate the effectiveness of wetland treatment systems in reducing nitrogen at a test-scale.</t>
  </si>
  <si>
    <t>Hydrologic restoration</t>
  </si>
  <si>
    <t>DEP/ FDACS</t>
  </si>
  <si>
    <t>City of Clewiston/ DEP/ FDACS</t>
  </si>
  <si>
    <t>Storage of 170,000 acre-feet of stormwater runoff and releases from Lake Okeechobee. It will reduce volume of lake discharges in wet season and provide freshwater flow to the estuary in dry season to aid in essential flows for more stable salinities.</t>
  </si>
  <si>
    <t>City - $171,911</t>
  </si>
  <si>
    <t>City - $172,629</t>
  </si>
  <si>
    <t>LA-MSID - $400,000</t>
  </si>
  <si>
    <t>County - $3,323,506</t>
  </si>
  <si>
    <t>County - $2,500,000</t>
  </si>
  <si>
    <t>County - $12,584,000</t>
  </si>
  <si>
    <t>County - $8,175,706</t>
  </si>
  <si>
    <t>County - $467,000</t>
  </si>
  <si>
    <t>County - $1,755,000</t>
  </si>
  <si>
    <t>County - $23,900,000</t>
  </si>
  <si>
    <t>County - $4,631,625</t>
  </si>
  <si>
    <t>County - $12,000</t>
  </si>
  <si>
    <t>County - $195,831</t>
  </si>
  <si>
    <t>County - $61,565</t>
  </si>
  <si>
    <t>County - $228,285</t>
  </si>
  <si>
    <t>County - $3,870,000</t>
  </si>
  <si>
    <t>DEP - $774,000</t>
  </si>
  <si>
    <t>DEP - $891,848</t>
  </si>
  <si>
    <t>LP22023</t>
  </si>
  <si>
    <t>SFWMD/ Florida Legislature</t>
  </si>
  <si>
    <t>Column Labels</t>
  </si>
  <si>
    <t>29. added project IDs (highlighted in blue)for new projects (blanks) inserted in the STAR 2019 process from Access import. Saved a working copy to check and added a pivot table on projects type check tab to review for any errors/missing info.</t>
  </si>
  <si>
    <t>Min/Max of Project IDs</t>
  </si>
  <si>
    <t>Count of ProjID</t>
  </si>
  <si>
    <t>Sum of ProjID</t>
  </si>
  <si>
    <t>Total Reductions Required</t>
  </si>
  <si>
    <t>2019 STAR Priority Projects (1-5)</t>
  </si>
  <si>
    <t>ProjID</t>
  </si>
  <si>
    <t>30. 051420 created lat long tab with projects that contain coordinates to update Access.</t>
  </si>
  <si>
    <t>31. 080520 inputted Bree approved (in blue) changes for Post STAR-2019 updates from the "Priority Projects Append_WL Projects_v2" worksheet from items that were highlighted blue in the Append workbook. Revised project CA-03.</t>
  </si>
  <si>
    <t>2025</t>
  </si>
  <si>
    <t>32. 081920 TMG: changed project type or completion date to resolve errors identified in the Ongoing Project Type Errors workbook.</t>
  </si>
  <si>
    <t>2012</t>
  </si>
  <si>
    <t>33. 082120 BR: Revised credits and acreage based on treatment area OR changed project type to resolve errors identified in the Ongoing Project Type Errors workbook OR revised project status</t>
  </si>
  <si>
    <t>34. 091020 TMG: reduction calculations from Caloosahatchee BMAP project credit calcs_08.11.2020 added to metrics workbook</t>
  </si>
  <si>
    <t>2007</t>
  </si>
  <si>
    <t>CS-A1 is a Modified Type H Inlet, CS-A2 is a Modified Type E Inlet, CS-B1 is a Modified Type C Inlet.</t>
  </si>
  <si>
    <t>East Caloosahatchee</t>
  </si>
  <si>
    <t>West Caloosahatchee</t>
  </si>
  <si>
    <t>Tidal Caloosahatchee; West Caloosahatchee</t>
  </si>
  <si>
    <t>West Caloosahatchee; East Caloosahatchee</t>
  </si>
  <si>
    <t>Entity</t>
  </si>
  <si>
    <t>TN Reductions to Date</t>
  </si>
  <si>
    <t>TN Required Reductions</t>
  </si>
  <si>
    <t>TN Reductions Still Needed</t>
  </si>
  <si>
    <t>TP Reductions to Date</t>
  </si>
  <si>
    <t>TP Required Reductions</t>
  </si>
  <si>
    <t>TP Reductions Still Needed</t>
  </si>
  <si>
    <t xml:space="preserve">Total TP Required Reductions Achieved (%) </t>
  </si>
  <si>
    <t>City of LaBelle</t>
  </si>
  <si>
    <t>River Hall CDD</t>
  </si>
  <si>
    <t>Moody River Estate CDD</t>
  </si>
  <si>
    <t>Sail Harbour CDD</t>
  </si>
  <si>
    <t>Collier County</t>
  </si>
  <si>
    <t>Totals</t>
  </si>
  <si>
    <t>Hendry County/Port LaBelle CDD</t>
  </si>
  <si>
    <t xml:space="preserve">Entity is part of the 2020 BMAP, but has not listed any projects. Check cells and link to pivot during STAR if projects for the entity have been added. </t>
  </si>
  <si>
    <t>Baffle Boxes- First Generation</t>
  </si>
  <si>
    <t>BMP Missing from Model</t>
  </si>
  <si>
    <t>Constructed Wetland Treatment</t>
  </si>
  <si>
    <t>Pervious Pavement Systems</t>
  </si>
  <si>
    <t>Sanitary Sewer - Alum Injection System</t>
  </si>
  <si>
    <t>Stormwater - Alum Injection System</t>
  </si>
  <si>
    <t>Stormwater - Biological/ Bacteria Treatment</t>
  </si>
  <si>
    <t>Stormwater - Deep Injection Well</t>
  </si>
  <si>
    <t>Stormwater System Upgrade</t>
  </si>
  <si>
    <t>Wastewater - Deep Injection Well</t>
  </si>
  <si>
    <t xml:space="preserve">35. 091420 TMG: reductions updated for projects in questions based on M. Frick email on 091420. Updated Upstream of Estuary locations per 2020 BMAP All Projects workbook. Update project types based on current STAR update information (Types and Definitions 090920 workbook). Updated Summary Info, Load Reductions, and Progress Charts tabs with new 2020 numbers based on the newly adopted BMAP. </t>
  </si>
  <si>
    <t>2005</t>
  </si>
  <si>
    <t>2017</t>
  </si>
  <si>
    <t>Funding Partnership with LAMSID (fka ECWCD) for West Marsh Preserve.</t>
  </si>
  <si>
    <t>Funding Partnership with LAMSID (formerly known as [fka] ECWCD) for SW Weirs Project.</t>
  </si>
  <si>
    <t>Funding Partnership with LAMSID (fka ECWCD) for Moving Water South PH II, Hendry Canal Widening.</t>
  </si>
  <si>
    <t>2020</t>
  </si>
  <si>
    <t>WMDContractAgreementNumber</t>
  </si>
  <si>
    <t>Proposed5YearFundingPlan</t>
  </si>
  <si>
    <t>GISShapefile</t>
  </si>
  <si>
    <t xml:space="preserve">RESTORE Act </t>
  </si>
  <si>
    <t>Partially funded through RESTORE Act, but total costs have not been determined.</t>
  </si>
  <si>
    <t>Florida Power &amp; Light Powerline Easement – Water Quality Improvement</t>
  </si>
  <si>
    <t>Improve water quality, water storage and attenuation, flood protection, and habitat restoration in several highly disturbed watersheds in northeastern Lee County.</t>
  </si>
  <si>
    <t>Located directly on Caloosahatchee, project would provide water quality treatment for local drainage features and/or directly from river.</t>
  </si>
  <si>
    <t>WLProjID</t>
  </si>
  <si>
    <t>WLTPReduction(lbs/yr)</t>
  </si>
  <si>
    <t>WLFundingAmounts</t>
  </si>
  <si>
    <t>WLFundingStillNeeded</t>
  </si>
  <si>
    <t>WLLeadEntity</t>
  </si>
  <si>
    <t>WLPartners</t>
  </si>
  <si>
    <t>WLProjectNumber</t>
  </si>
  <si>
    <t>WLProjectName</t>
  </si>
  <si>
    <t>WLDescription</t>
  </si>
  <si>
    <t>WLProjectType</t>
  </si>
  <si>
    <t>WLProjectStatus</t>
  </si>
  <si>
    <t>WLEstimatedStartDate</t>
  </si>
  <si>
    <t>WLTNReduction(lbs/yr)</t>
  </si>
  <si>
    <t>WLCostEstimate</t>
  </si>
  <si>
    <t>WLCostAnnualO&amp;MEst</t>
  </si>
  <si>
    <t>WLFundingSources</t>
  </si>
  <si>
    <t>WLBasin/Location</t>
  </si>
  <si>
    <t>WLLatitudeApproximate</t>
  </si>
  <si>
    <t>WLLongitudeApproximate</t>
  </si>
  <si>
    <t xml:space="preserve">36. 111020 TMG: Formatted Future Projects tab for consistency with wish list request and moved to project collection workbooks. </t>
  </si>
  <si>
    <t>City of LaBelle Zone J Septic Tank to Central Sewer</t>
  </si>
  <si>
    <t>Caloosahatchee BMAP</t>
  </si>
  <si>
    <t>LPQ 0002</t>
  </si>
  <si>
    <t>City of LaBelle Zone A Septic Tank to Central Sewer</t>
  </si>
  <si>
    <t>LPQ 0003</t>
  </si>
  <si>
    <t>City of LaBelle Zone B Septic Tank to Central Sewer</t>
  </si>
  <si>
    <t>LPQ 0020</t>
  </si>
  <si>
    <t>37. 02182021 BR: Removed previous highlights and entered stakeholder updates from the 2020 STAR requests. Stakeholder submitted changes are highlighted in purple and my additions/edits are in blue</t>
  </si>
  <si>
    <t>MH-02</t>
  </si>
  <si>
    <t>Sanitary Sewer Hook-Up Project</t>
  </si>
  <si>
    <t>N</t>
  </si>
  <si>
    <t>C-43 West Basin Storage Reservoir Water Quality Component</t>
  </si>
  <si>
    <t>Y</t>
  </si>
  <si>
    <t>Hendry County</t>
  </si>
  <si>
    <t>North LaBelle Water Quality</t>
  </si>
  <si>
    <t>Phase 1 of a Force Main Extension from Airglades Airport to the City of Clewiston</t>
  </si>
  <si>
    <t>Hendry County residents in the vicinity of the project area experience frequent flooding conditions due to the lack of drainage infrastructure capacity. Improvements will allow the upstream watershed to pass through a system that will reduce nutrient loading prior to discharging into the Caloosahatchee River downstream.</t>
  </si>
  <si>
    <t>LaBelle, Hendry County</t>
  </si>
  <si>
    <t>26.748338</t>
  </si>
  <si>
    <t>-81.566183</t>
  </si>
  <si>
    <t>Apply for additional state grant funds as necessary</t>
  </si>
  <si>
    <t>Attached PDF</t>
  </si>
  <si>
    <t>Provide water quality components to treat stormwater along Mohawk Avenue prior to discharging into the Roy Brown Canal and flowing into the Caloosahatchee River.</t>
  </si>
  <si>
    <t>North LaBelle Municipal Service Benefit Unit</t>
  </si>
  <si>
    <t>26.770547</t>
  </si>
  <si>
    <t>-81.454361</t>
  </si>
  <si>
    <t>Clewiston, Hendry County</t>
  </si>
  <si>
    <t>LPA0086</t>
  </si>
  <si>
    <t>26.725100</t>
  </si>
  <si>
    <t xml:space="preserve"> -80.954200</t>
  </si>
  <si>
    <t>-81.1420.36</t>
  </si>
  <si>
    <t>-81.1556.17</t>
  </si>
  <si>
    <t>CREST</t>
  </si>
  <si>
    <t>2018</t>
  </si>
  <si>
    <t>2031</t>
  </si>
  <si>
    <t>S-BH-2</t>
  </si>
  <si>
    <t>S-CP-1</t>
  </si>
  <si>
    <t>S-R-1</t>
  </si>
  <si>
    <t>LC-48</t>
  </si>
  <si>
    <t>Olga Shores Preserve</t>
  </si>
  <si>
    <t>LC-49</t>
  </si>
  <si>
    <t>Four Mile Cove</t>
  </si>
  <si>
    <t>LC-50</t>
  </si>
  <si>
    <t>LC-51</t>
  </si>
  <si>
    <t>Master Wastewater Treatment Feasibility Analysis</t>
  </si>
  <si>
    <t>Alva Scrub Preserve</t>
  </si>
  <si>
    <t>2013</t>
  </si>
  <si>
    <t>36-06163-P</t>
  </si>
  <si>
    <t>26.570475</t>
  </si>
  <si>
    <t>-81.796735</t>
  </si>
  <si>
    <t>26.652749</t>
  </si>
  <si>
    <t>-81.776875</t>
  </si>
  <si>
    <t>Mirada CDD</t>
  </si>
  <si>
    <t>Education/Pet Waste</t>
  </si>
  <si>
    <t>Public education, training, codes and ordinances provided by Lee County.</t>
  </si>
  <si>
    <t>County-wide; District-wide</t>
  </si>
  <si>
    <t>Public education and training provided by Lee County.</t>
  </si>
  <si>
    <t>Port LaBelle CDD</t>
  </si>
  <si>
    <t>-80.9854.89</t>
  </si>
  <si>
    <t>Reverse Osmosis WTP Dry Pond</t>
  </si>
  <si>
    <t>Sweet Lake Villas Community Association, Inc.</t>
  </si>
  <si>
    <t>East Ventura Water Quality</t>
  </si>
  <si>
    <t>CW-04</t>
  </si>
  <si>
    <t>CW-05</t>
  </si>
  <si>
    <t>CW-06</t>
  </si>
  <si>
    <t>Dry detention pond (volume required = 0.23 ac-ft, volume provided = 1.12 ac-ft).</t>
  </si>
  <si>
    <t>Wet detention pond (volume required = 0.71 ac-ft, volume provided = 1.88 ac-ft).</t>
  </si>
  <si>
    <t>Constructed wetlands to treat runoff.</t>
  </si>
  <si>
    <t>Grant</t>
  </si>
  <si>
    <t>26-103570-P</t>
  </si>
  <si>
    <t>Sweet Lake Villas, LLC</t>
  </si>
  <si>
    <t>LA-13</t>
  </si>
  <si>
    <t>LA-14</t>
  </si>
  <si>
    <t>LB-01</t>
  </si>
  <si>
    <t>LB-02</t>
  </si>
  <si>
    <t>LB-03</t>
  </si>
  <si>
    <t>PL-01</t>
  </si>
  <si>
    <t>HC-01</t>
  </si>
  <si>
    <t>HC-02</t>
  </si>
  <si>
    <t>HC-03</t>
  </si>
  <si>
    <t>M-01</t>
  </si>
  <si>
    <t>M-02</t>
  </si>
  <si>
    <t>Cost-Share BMP Projects</t>
  </si>
  <si>
    <t>Enrollment and verification of BMPs by agricultural producers. Attenuated reductions based on HSPF model. Acres treated based on FDACS OAWP December 2020 Enrollment and FSAID VII.</t>
  </si>
  <si>
    <t>Cost-share projects paid for by FDACS. Acres treated based on FDACS OAWP June 2020 Enrollment. Reductions estimated by DEP using 2020 BMAP LET.</t>
  </si>
  <si>
    <t>Structural, Non-structural, or Trade</t>
  </si>
  <si>
    <t>Construct and operate a water quality treatment component at the C-43 West Basin Storage Reservoir to reduce discharge of nutrients which may contribute to blue-green algal blooms.</t>
  </si>
  <si>
    <t>FYN; landscape, irrigation, pet waste, and fertilizer ordinances; pamphlets, PSAs, website, and Illicit Discharge Program.</t>
  </si>
  <si>
    <t>Four Corners MSBU / County Line Ditch Widening</t>
  </si>
  <si>
    <t>Hendry County plans to construct a force main that will extend from the Airglades Airport to the City of Clewiston. The work consists of constructing a wastewater transmission system to convey raw wastewater from the Airglades Airport WWTP to the City of Clewiston WWTP. The force main will allow the existing Airglades Airport WWTP to be converted to a master pumping station and will transfer wastewater flows to the City of Clewiston’s WWTP.</t>
  </si>
  <si>
    <t>Study to identify areas of high nutrient loads and potential BMPs to improve water quality, and restore historic hydrologic conditions.</t>
  </si>
  <si>
    <t>Study to support the development of a County-wide Septic Conversion Master Plan (SCMP).</t>
  </si>
  <si>
    <t>Series of two weirs constructed along Manuel's Branch between Royal Palm Avenue and Grand Avenue that act as detention structures for purpose of increasing storage and attenuation in canal.</t>
  </si>
  <si>
    <t>Septic tank conversion project that will consist of a pump station, force main and gravity sewer to provide an estimated 55 customers (area buildout) with sanitary sewer.</t>
  </si>
  <si>
    <t>Septic tank conversion project that will consist of a pump station, force main and gravity sewer to provide an estimated 496 customers (area buildout) with sanitary sewer.</t>
  </si>
  <si>
    <t>Septic tank conversion project that will consist of a pump station, force main and gravity sewer to provide an estimated 315 customers (area buildout) with sanitary sewer.</t>
  </si>
  <si>
    <t>DEP grant</t>
  </si>
  <si>
    <t>HUD/ DEO</t>
  </si>
  <si>
    <t>DEP/ Port LaBelle Utility System/ City of Clewiston/ Airglades Airport/ Tetra Tech</t>
  </si>
  <si>
    <t>No application of fertilizer in district's rights-of-way.</t>
  </si>
  <si>
    <t>Landscaping, irrigation, fertilizer, and stormwater ordinances; PSAs; pamphlets; website; illicit discharge program.</t>
  </si>
  <si>
    <t>215 miles swept.</t>
  </si>
  <si>
    <t>40 inlets cleaned.</t>
  </si>
  <si>
    <t>Swales with ditch blocks. Facility ID = 12020-3541-01.</t>
  </si>
  <si>
    <t>Installation of siltation structure designed to receive incoming flow, reduce its velocity and allow for settling of suspended particles. Called sediment trap (near control structure).</t>
  </si>
  <si>
    <t>Pollution prevention and fertilizer education.</t>
  </si>
  <si>
    <t>Purchased 100 acres agricultural land to construct STA.</t>
  </si>
  <si>
    <t>Return historical flow from Gator Slough Canal system to Yellow Fever Creek. There are 114 acres in the BMAP being treated by this project, there are additional areas being treated outside of the BMAP boundary.</t>
  </si>
  <si>
    <t>Construct STA.</t>
  </si>
  <si>
    <t>Watershed study to investigate interactions between OSTDS and surface water in the Caloosahatchee Estuary.</t>
  </si>
  <si>
    <t>Conversion of agricultural lands to natural conservation lands.</t>
  </si>
  <si>
    <t>Hook-up 14 residential housing units on Railroad Ave, Avenue F and 7th street currently on septic systems to central sewer.</t>
  </si>
  <si>
    <t>Updates on BMAP and requirements during annual meeting.</t>
  </si>
  <si>
    <t>In Waterbody - Alum Injection System</t>
  </si>
  <si>
    <t>In Waterbody - Biological/ Bacteria Treatment</t>
  </si>
  <si>
    <t>Retention/Detention BMP with Nutrient Reducing Media</t>
  </si>
  <si>
    <t>FIB- OSTDS</t>
  </si>
  <si>
    <t>FIB- Sanitary Sewer</t>
  </si>
  <si>
    <t>FIB- Source Identification Activities</t>
  </si>
  <si>
    <t>FIB- Stormwater</t>
  </si>
  <si>
    <t>FIB- Trash Cleanup of Impaired Waterbody</t>
  </si>
  <si>
    <t>EstimatedStartDate</t>
  </si>
  <si>
    <t>2019</t>
  </si>
  <si>
    <t>2021</t>
  </si>
  <si>
    <t>2015</t>
  </si>
  <si>
    <t>2022</t>
  </si>
  <si>
    <t>2023</t>
  </si>
  <si>
    <t>2006</t>
  </si>
  <si>
    <t>2016</t>
  </si>
  <si>
    <t>1997</t>
  </si>
  <si>
    <t>1996</t>
  </si>
  <si>
    <t>2002</t>
  </si>
  <si>
    <t>1990</t>
  </si>
  <si>
    <t>1989</t>
  </si>
  <si>
    <t>1995</t>
  </si>
  <si>
    <t>2009</t>
  </si>
  <si>
    <t>2014</t>
  </si>
  <si>
    <t>2000</t>
  </si>
  <si>
    <t>2024</t>
  </si>
  <si>
    <t>USACE/ SFWMD/ Florida Legislature</t>
  </si>
  <si>
    <t>DEO</t>
  </si>
  <si>
    <t>DEP/ City</t>
  </si>
  <si>
    <t>USACE - $38,846,743/ SFWMD - $6,226,922/ Florida Legislature - $396,824,679</t>
  </si>
  <si>
    <t>SFWMD - $12,395,150/ Florida Legislature - $4,905,440</t>
  </si>
  <si>
    <t>SFWMD - $27,043/ Florida Legislature - $1,500,000</t>
  </si>
  <si>
    <t>$659,385</t>
  </si>
  <si>
    <t>$302,200</t>
  </si>
  <si>
    <t>$500</t>
  </si>
  <si>
    <t>$1,000</t>
  </si>
  <si>
    <t>$22,500</t>
  </si>
  <si>
    <t>$14,000</t>
  </si>
  <si>
    <t>$461,000</t>
  </si>
  <si>
    <t>$75,000</t>
  </si>
  <si>
    <t>$20,000</t>
  </si>
  <si>
    <t>$13,000</t>
  </si>
  <si>
    <t>$2,500</t>
  </si>
  <si>
    <t>$10,000</t>
  </si>
  <si>
    <t>$4,297,112</t>
  </si>
  <si>
    <t>$200,000</t>
  </si>
  <si>
    <t>$1,075,195</t>
  </si>
  <si>
    <t>$567,500</t>
  </si>
  <si>
    <t>$15,000</t>
  </si>
  <si>
    <t>$891,848</t>
  </si>
  <si>
    <t>$42,395</t>
  </si>
  <si>
    <t>$5,000</t>
  </si>
  <si>
    <t>$3,500</t>
  </si>
  <si>
    <t>$2,000</t>
  </si>
  <si>
    <t>$95,000</t>
  </si>
  <si>
    <t>$1,025,000</t>
  </si>
  <si>
    <t>$255,800</t>
  </si>
  <si>
    <t>County - $78,500/ SFWMD - $102,071</t>
  </si>
  <si>
    <t>$1,726,625</t>
  </si>
  <si>
    <t>$2,500,000</t>
  </si>
  <si>
    <t>$250,000</t>
  </si>
  <si>
    <t>County - $175,000/ DEP - 817,000</t>
  </si>
  <si>
    <t>$100,000</t>
  </si>
  <si>
    <t>$908,000</t>
  </si>
  <si>
    <t>$125,000</t>
  </si>
  <si>
    <t>DEP - $450,000/ SFWMD - $300,000</t>
  </si>
  <si>
    <t>$300,000</t>
  </si>
  <si>
    <t>$3,128,500</t>
  </si>
  <si>
    <t>County - $2,659,059</t>
  </si>
  <si>
    <t>$4,500</t>
  </si>
  <si>
    <t>DEO-$644,000/ City - $50,400</t>
  </si>
  <si>
    <t>$400,000</t>
  </si>
  <si>
    <t>$136,681</t>
  </si>
  <si>
    <t>County - $4,475,664</t>
  </si>
  <si>
    <t>County - $11,790,530</t>
  </si>
  <si>
    <t>County - $3,323,507</t>
  </si>
  <si>
    <t>DEP - $650,602/ SFWMD - $80,000</t>
  </si>
  <si>
    <t>S0840/ LPQ0012</t>
  </si>
  <si>
    <t>4600001404/ 4600002055</t>
  </si>
  <si>
    <t>26.514444</t>
  </si>
  <si>
    <t>-81.913056</t>
  </si>
  <si>
    <t>LA-15</t>
  </si>
  <si>
    <t>LA-16</t>
  </si>
  <si>
    <t>LA-17</t>
  </si>
  <si>
    <t>LA-18</t>
  </si>
  <si>
    <t>26.779607</t>
  </si>
  <si>
    <t>-81.289079</t>
  </si>
  <si>
    <t>County - $1,493,268/ SFWMD - $450,000/ FDOT - $117,500</t>
  </si>
  <si>
    <t xml:space="preserve">38. 0310-031121 TMG: QA/QC. Added edits requested by BR. Updated charts and graphs. Edits in teal. </t>
  </si>
  <si>
    <t>Unknown</t>
  </si>
  <si>
    <t>26.629000</t>
  </si>
  <si>
    <t>39.0040221: updated missing ProjIDs. TEK</t>
  </si>
  <si>
    <t>26.75713889</t>
  </si>
  <si>
    <t>26.7515</t>
  </si>
  <si>
    <t>26.78637063</t>
  </si>
  <si>
    <t>26.81848578</t>
  </si>
  <si>
    <t>26.81714529</t>
  </si>
  <si>
    <t>26.82102263</t>
  </si>
  <si>
    <t>26.564589</t>
  </si>
  <si>
    <t>26.59652977</t>
  </si>
  <si>
    <t>26.71308702</t>
  </si>
  <si>
    <t>26.750692</t>
  </si>
  <si>
    <t>26.755175</t>
  </si>
  <si>
    <t>26.7563138888889</t>
  </si>
  <si>
    <t>26.741323</t>
  </si>
  <si>
    <t>26.756734</t>
  </si>
  <si>
    <t>26.751328</t>
  </si>
  <si>
    <t>26.649244</t>
  </si>
  <si>
    <t>26.657172</t>
  </si>
  <si>
    <t>26.779836</t>
  </si>
  <si>
    <t>26.514897</t>
  </si>
  <si>
    <t>26.531367</t>
  </si>
  <si>
    <t>26.53136722</t>
  </si>
  <si>
    <t>26.573</t>
  </si>
  <si>
    <t>26.749203</t>
  </si>
  <si>
    <t>26.594803</t>
  </si>
  <si>
    <t>26.625883</t>
  </si>
  <si>
    <t>26.779794</t>
  </si>
  <si>
    <t>26.826065</t>
  </si>
  <si>
    <t>26.791572</t>
  </si>
  <si>
    <t>26.784144</t>
  </si>
  <si>
    <t>26.806014</t>
  </si>
  <si>
    <t>26.711926245</t>
  </si>
  <si>
    <t>26.681941407</t>
  </si>
  <si>
    <t>26.681789792</t>
  </si>
  <si>
    <t>26.689021</t>
  </si>
  <si>
    <t>26.710181</t>
  </si>
  <si>
    <t>26.671697717</t>
  </si>
  <si>
    <t>26.673893199</t>
  </si>
  <si>
    <t>26.543035991</t>
  </si>
  <si>
    <t>26.51771946</t>
  </si>
  <si>
    <t>26.525744062</t>
  </si>
  <si>
    <t>26.536900395</t>
  </si>
  <si>
    <t>26.539337527</t>
  </si>
  <si>
    <t>26.681556331</t>
  </si>
  <si>
    <t>26.689441001</t>
  </si>
  <si>
    <t>26.695392184</t>
  </si>
  <si>
    <t>26.697306872</t>
  </si>
  <si>
    <t>26.70133</t>
  </si>
  <si>
    <t>26.70386944</t>
  </si>
  <si>
    <t>26.70881</t>
  </si>
  <si>
    <t>26.71228</t>
  </si>
  <si>
    <t>26.58864573</t>
  </si>
  <si>
    <t>26.5865146</t>
  </si>
  <si>
    <t>26.56417492</t>
  </si>
  <si>
    <t>26.7684705</t>
  </si>
  <si>
    <t>26.49471</t>
  </si>
  <si>
    <t>26.6350564</t>
  </si>
  <si>
    <t>26.709992</t>
  </si>
  <si>
    <t>26.724083</t>
  </si>
  <si>
    <t>26.76935</t>
  </si>
  <si>
    <t>26.61183763</t>
  </si>
  <si>
    <t>26.545427</t>
  </si>
  <si>
    <t>26.62706819</t>
  </si>
  <si>
    <t>26.62617409</t>
  </si>
  <si>
    <t>26.66128544</t>
  </si>
  <si>
    <t>26.6507609</t>
  </si>
  <si>
    <t>26.65234132</t>
  </si>
  <si>
    <t>26.64589704</t>
  </si>
  <si>
    <t>26.6109934</t>
  </si>
  <si>
    <t>26.64986724</t>
  </si>
  <si>
    <t>26.64674515</t>
  </si>
  <si>
    <t>26.66157464</t>
  </si>
  <si>
    <t>26.63444746</t>
  </si>
  <si>
    <t>26.66456608</t>
  </si>
  <si>
    <t>26.864781</t>
  </si>
  <si>
    <t>26.8283</t>
  </si>
  <si>
    <t>26.835517</t>
  </si>
  <si>
    <t>26.677781</t>
  </si>
  <si>
    <t>26.68239677</t>
  </si>
  <si>
    <t>26.699728</t>
  </si>
  <si>
    <t>26.733742</t>
  </si>
  <si>
    <t>26.738786</t>
  </si>
  <si>
    <t>26.758478</t>
  </si>
  <si>
    <t>26.65282629</t>
  </si>
  <si>
    <t>26.61742793</t>
  </si>
  <si>
    <t>26.56256346</t>
  </si>
  <si>
    <t>26.59099311</t>
  </si>
  <si>
    <t>26.59239</t>
  </si>
  <si>
    <t>26.56049063</t>
  </si>
  <si>
    <t>26.64812855</t>
  </si>
  <si>
    <t>26.57153562</t>
  </si>
  <si>
    <t>26.710315</t>
  </si>
  <si>
    <t>26.662645</t>
  </si>
  <si>
    <t>26.754302</t>
  </si>
  <si>
    <t>26.637291</t>
  </si>
  <si>
    <t>26.703711</t>
  </si>
  <si>
    <t>26.527191</t>
  </si>
  <si>
    <t>26.665234</t>
  </si>
  <si>
    <t>26.690852</t>
  </si>
  <si>
    <t>26.742021</t>
  </si>
  <si>
    <t>26.744064</t>
  </si>
  <si>
    <t>26.647427</t>
  </si>
  <si>
    <t>26.709429</t>
  </si>
  <si>
    <t>26.738579</t>
  </si>
  <si>
    <t>26.575158</t>
  </si>
  <si>
    <t>26.691059</t>
  </si>
  <si>
    <t>26.7536319</t>
  </si>
  <si>
    <t>26.64483</t>
  </si>
  <si>
    <t>26.528695</t>
  </si>
  <si>
    <t>26.758919</t>
  </si>
  <si>
    <t>26.703014</t>
  </si>
  <si>
    <t>26.713912</t>
  </si>
  <si>
    <t>26.732617</t>
  </si>
  <si>
    <t>26.6393111</t>
  </si>
  <si>
    <t>26.638532</t>
  </si>
  <si>
    <t>26.766285</t>
  </si>
  <si>
    <t>26.700686</t>
  </si>
  <si>
    <t>26.73001</t>
  </si>
  <si>
    <t>26.733933</t>
  </si>
  <si>
    <t>26.519637</t>
  </si>
  <si>
    <t>26.661567</t>
  </si>
  <si>
    <t>26.658217</t>
  </si>
  <si>
    <t>26.57583619</t>
  </si>
  <si>
    <t>26.753019</t>
  </si>
  <si>
    <t>26.66855657</t>
  </si>
  <si>
    <t>26.69098357</t>
  </si>
  <si>
    <t>26.76402</t>
  </si>
  <si>
    <t>26.76433</t>
  </si>
  <si>
    <t>26.52745854</t>
  </si>
  <si>
    <t>26.72174338</t>
  </si>
  <si>
    <t>26.565817</t>
  </si>
  <si>
    <t>26.720964</t>
  </si>
  <si>
    <t>26.68908316</t>
  </si>
  <si>
    <t>26.697928</t>
  </si>
  <si>
    <t>26.730144</t>
  </si>
  <si>
    <t>26.753411</t>
  </si>
  <si>
    <t>26.765592</t>
  </si>
  <si>
    <t>26.619614</t>
  </si>
  <si>
    <t>26.692741</t>
  </si>
  <si>
    <t>26.835885</t>
  </si>
  <si>
    <t>26.54102</t>
  </si>
  <si>
    <t>26.62156</t>
  </si>
  <si>
    <t>26.63524</t>
  </si>
  <si>
    <t>-81.38611111</t>
  </si>
  <si>
    <t>-81.275</t>
  </si>
  <si>
    <t>-81.28874105</t>
  </si>
  <si>
    <t>-81.14594202</t>
  </si>
  <si>
    <t>-81.14890318</t>
  </si>
  <si>
    <t>-81.47034187</t>
  </si>
  <si>
    <t>-81.95807</t>
  </si>
  <si>
    <t>-81.88976826</t>
  </si>
  <si>
    <t>-81.9305424</t>
  </si>
  <si>
    <t>-80.936481</t>
  </si>
  <si>
    <t>-80.935078</t>
  </si>
  <si>
    <t>-80.9277222222222</t>
  </si>
  <si>
    <t>-80.938836</t>
  </si>
  <si>
    <t>-80.945721</t>
  </si>
  <si>
    <t>-80.930083</t>
  </si>
  <si>
    <t>-81.274416</t>
  </si>
  <si>
    <t>-81.280753</t>
  </si>
  <si>
    <t>-81.233122</t>
  </si>
  <si>
    <t>-81.454758</t>
  </si>
  <si>
    <t>-81.46105</t>
  </si>
  <si>
    <t>-81.4610504</t>
  </si>
  <si>
    <t>-81.465186</t>
  </si>
  <si>
    <t>-80.934823</t>
  </si>
  <si>
    <t>-81.232531</t>
  </si>
  <si>
    <t>-81.236528</t>
  </si>
  <si>
    <t>-81.233103</t>
  </si>
  <si>
    <t>-81.781427</t>
  </si>
  <si>
    <t>-81.027575</t>
  </si>
  <si>
    <t>-81.037333</t>
  </si>
  <si>
    <t>-81.029964</t>
  </si>
  <si>
    <t>-81.901818974</t>
  </si>
  <si>
    <t>-81.903253815</t>
  </si>
  <si>
    <t>-81.901230369</t>
  </si>
  <si>
    <t>-81.79037</t>
  </si>
  <si>
    <t>-81.719172</t>
  </si>
  <si>
    <t>-81.880446505</t>
  </si>
  <si>
    <t>-81.881785059</t>
  </si>
  <si>
    <t>-81.915922688</t>
  </si>
  <si>
    <t>-81.939988489</t>
  </si>
  <si>
    <t>-81.935121139</t>
  </si>
  <si>
    <t>-81.920548275</t>
  </si>
  <si>
    <t>-81.917593338</t>
  </si>
  <si>
    <t>-81.89677626</t>
  </si>
  <si>
    <t>-81.860182259</t>
  </si>
  <si>
    <t>-81.854999487</t>
  </si>
  <si>
    <t>-81.849894698</t>
  </si>
  <si>
    <t>-81.84677</t>
  </si>
  <si>
    <t>-81.84722222</t>
  </si>
  <si>
    <t>-81.83728</t>
  </si>
  <si>
    <t>-81.82679</t>
  </si>
  <si>
    <t>-81.72949828</t>
  </si>
  <si>
    <t>-81.72469713</t>
  </si>
  <si>
    <t>-81.67332949</t>
  </si>
  <si>
    <t>-81.30636</t>
  </si>
  <si>
    <t>-81.465189</t>
  </si>
  <si>
    <t>-81.77009798</t>
  </si>
  <si>
    <t>-81.049956</t>
  </si>
  <si>
    <t>-81.078433</t>
  </si>
  <si>
    <t>-81.114064</t>
  </si>
  <si>
    <t>-81.8790337</t>
  </si>
  <si>
    <t>-81.898644</t>
  </si>
  <si>
    <t>-81.87986865</t>
  </si>
  <si>
    <t>-81.87024539</t>
  </si>
  <si>
    <t>-81.82479508</t>
  </si>
  <si>
    <t>-81.84290721</t>
  </si>
  <si>
    <t>-81.84658</t>
  </si>
  <si>
    <t>-81.87110337</t>
  </si>
  <si>
    <t>-81.87657736</t>
  </si>
  <si>
    <t>-81.84460589</t>
  </si>
  <si>
    <t>-81.85235455</t>
  </si>
  <si>
    <t>-81.83297422</t>
  </si>
  <si>
    <t>-81.84316471</t>
  </si>
  <si>
    <t>-81.83771637</t>
  </si>
  <si>
    <t>-81.287188</t>
  </si>
  <si>
    <t>-81.0969</t>
  </si>
  <si>
    <t>-81.124969</t>
  </si>
  <si>
    <t>-81.342258</t>
  </si>
  <si>
    <t>-81.34460814</t>
  </si>
  <si>
    <t>-81.333053</t>
  </si>
  <si>
    <t>-81.151114</t>
  </si>
  <si>
    <t>-81.69285684</t>
  </si>
  <si>
    <t>-81.69578312</t>
  </si>
  <si>
    <t>-81.64746957</t>
  </si>
  <si>
    <t>-81.68594106</t>
  </si>
  <si>
    <t>-81.61794</t>
  </si>
  <si>
    <t>-81.6377707</t>
  </si>
  <si>
    <t>-81.70249402</t>
  </si>
  <si>
    <t>-81.56511405</t>
  </si>
  <si>
    <t>-81.933828</t>
  </si>
  <si>
    <t>-81.824428</t>
  </si>
  <si>
    <t>-81.815892</t>
  </si>
  <si>
    <t>-81.655325</t>
  </si>
  <si>
    <t>-81.739156</t>
  </si>
  <si>
    <t>-81.793069</t>
  </si>
  <si>
    <t>-81.921707</t>
  </si>
  <si>
    <t>-81.738647</t>
  </si>
  <si>
    <t>-81.783652</t>
  </si>
  <si>
    <t>-81.876716</t>
  </si>
  <si>
    <t>-81.696723</t>
  </si>
  <si>
    <t>-81.705287</t>
  </si>
  <si>
    <t>-81.933544</t>
  </si>
  <si>
    <t>-81.871096</t>
  </si>
  <si>
    <t>-81.892428</t>
  </si>
  <si>
    <t>-81.867695</t>
  </si>
  <si>
    <t>-81.82114111</t>
  </si>
  <si>
    <t>-81.5221</t>
  </si>
  <si>
    <t>-81.924713</t>
  </si>
  <si>
    <t>-81.805658</t>
  </si>
  <si>
    <t>-81.809534</t>
  </si>
  <si>
    <t>-81.933902</t>
  </si>
  <si>
    <t>-81.909439</t>
  </si>
  <si>
    <t>-81.90891036</t>
  </si>
  <si>
    <t>-81.778207</t>
  </si>
  <si>
    <t>-81.443199</t>
  </si>
  <si>
    <t>-81.529159</t>
  </si>
  <si>
    <t>-81.662022</t>
  </si>
  <si>
    <t>-81.604478</t>
  </si>
  <si>
    <t>-81.921543</t>
  </si>
  <si>
    <t>-81.89268</t>
  </si>
  <si>
    <t>-81.744166</t>
  </si>
  <si>
    <t>-81.87584604</t>
  </si>
  <si>
    <t>-81.648373</t>
  </si>
  <si>
    <t>-81.6101884</t>
  </si>
  <si>
    <t>-81.87085594</t>
  </si>
  <si>
    <t>-81.434432</t>
  </si>
  <si>
    <t>-81.428092</t>
  </si>
  <si>
    <t>-81.92174306</t>
  </si>
  <si>
    <t>-81.70910357</t>
  </si>
  <si>
    <t>-81.553234</t>
  </si>
  <si>
    <t>-81.708499</t>
  </si>
  <si>
    <t>-81.70333752</t>
  </si>
  <si>
    <t>-81.726795</t>
  </si>
  <si>
    <t>-80.964206</t>
  </si>
  <si>
    <t>-80.959603</t>
  </si>
  <si>
    <t>-81.923428</t>
  </si>
  <si>
    <t>-81.61634</t>
  </si>
  <si>
    <t>-81.099753</t>
  </si>
  <si>
    <t>-81.60454</t>
  </si>
  <si>
    <t>-81.72721</t>
  </si>
  <si>
    <t>-81.69195</t>
  </si>
  <si>
    <t>Count of ProjectNumber</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</si>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</sst>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quot;$&quot;#,##0"/>
    <numFmt numFmtId="165" formatCode="#,##0.0000000000"/>
    <numFmt numFmtId="166" formatCode="#,##0.0"/>
    <numFmt numFmtId="167" formatCode="&quot;$&quot;#,##0.00"/>
  </numFmts>
  <fonts count="14" x14ac:knownFonts="1">
    <font>
      <sz val="11"/>
      <color theme="1"/>
      <name val="Calibri"/>
      <family val="2"/>
      <scheme val="minor"/>
    </font>
    <font>
      <sz val="10"/>
      <color theme="1"/>
      <name val="Times New Roman"/>
      <family val="1"/>
    </font>
    <font>
      <b/>
      <sz val="10"/>
      <color theme="1"/>
      <name val="Times New Roman"/>
      <family val="1"/>
    </font>
    <font>
      <b/>
      <sz val="10"/>
      <color rgb="FF000000"/>
      <name val="Times New Roman"/>
      <family val="1"/>
    </font>
    <font>
      <sz val="11"/>
      <color theme="1"/>
      <name val="Calibri"/>
      <family val="2"/>
      <scheme val="minor"/>
    </font>
    <font>
      <b/>
      <sz val="11"/>
      <color theme="1"/>
      <name val="Calibri"/>
      <family val="2"/>
      <scheme val="minor"/>
    </font>
    <font>
      <sz val="10"/>
      <name val="Times New Roman"/>
      <family val="1"/>
    </font>
    <font>
      <sz val="11"/>
      <color rgb="FFFF0000"/>
      <name val="Calibri"/>
      <family val="2"/>
      <scheme val="minor"/>
    </font>
    <font>
      <sz val="10"/>
      <color rgb="FFFF0000"/>
      <name val="Times New Roman"/>
      <family val="1"/>
    </font>
    <font>
      <sz val="11"/>
      <color theme="1"/>
      <name val="Times New Roman"/>
      <family val="1"/>
    </font>
    <font>
      <b/>
      <sz val="11"/>
      <color theme="1"/>
      <name val="Times New Roman"/>
      <family val="1"/>
    </font>
    <font>
      <sz val="12"/>
      <color theme="1"/>
      <name val="Times New Roman"/>
      <family val="1"/>
    </font>
    <font>
      <b/>
      <sz val="11"/>
      <color rgb="FF000000"/>
      <name val="Calibri"/>
      <family val="2"/>
    </font>
    <font>
      <sz val="8"/>
      <name val="Calibri"/>
      <family val="2"/>
      <scheme val="minor"/>
    </font>
  </fonts>
  <fills count="27">
    <fill>
      <patternFill patternType="none"/>
    </fill>
    <fill>
      <patternFill patternType="gray125"/>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rgb="FFFFFF00"/>
        <bgColor indexed="64"/>
      </patternFill>
    </fill>
    <fill>
      <patternFill patternType="solid">
        <fgColor theme="0" tint="-0.14999847407452621"/>
        <bgColor indexed="64"/>
      </patternFill>
    </fill>
    <fill>
      <patternFill patternType="solid">
        <fgColor rgb="FFFF66FF"/>
        <bgColor indexed="64"/>
      </patternFill>
    </fill>
    <fill>
      <patternFill patternType="solid">
        <fgColor theme="7" tint="0.39997558519241921"/>
        <bgColor indexed="64"/>
      </patternFill>
    </fill>
    <fill>
      <patternFill patternType="solid">
        <fgColor rgb="FFFF7C80"/>
        <bgColor indexed="64"/>
      </patternFill>
    </fill>
    <fill>
      <patternFill patternType="solid">
        <fgColor rgb="FF00B0F0"/>
        <bgColor indexed="64"/>
      </patternFill>
    </fill>
    <fill>
      <patternFill patternType="solid">
        <fgColor rgb="FFC0C0C0"/>
        <bgColor rgb="FFC0C0C0"/>
      </patternFill>
    </fill>
    <fill>
      <patternFill patternType="solid">
        <fgColor rgb="FFFFC000"/>
        <bgColor indexed="64"/>
      </patternFill>
    </fill>
    <fill>
      <patternFill patternType="solid">
        <fgColor theme="8" tint="0.39997558519241921"/>
        <bgColor indexed="64"/>
      </patternFill>
    </fill>
    <fill>
      <patternFill patternType="solid">
        <fgColor theme="2"/>
        <bgColor indexed="64"/>
      </patternFill>
    </fill>
    <fill>
      <patternFill patternType="solid">
        <fgColor theme="4" tint="0.39997558519241921"/>
        <bgColor indexed="64"/>
      </patternFill>
    </fill>
    <fill>
      <patternFill patternType="solid">
        <fgColor rgb="FFCC99FF"/>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9" tint="0.59999389629810485"/>
        <bgColor rgb="FFC0C0C0"/>
      </patternFill>
    </fill>
    <fill>
      <patternFill patternType="solid">
        <fgColor theme="0" tint="-0.249977111117893"/>
        <bgColor indexed="64"/>
      </patternFill>
    </fill>
    <fill>
      <patternFill patternType="solid">
        <fgColor rgb="FF66CCFF"/>
        <bgColor indexed="64"/>
      </patternFill>
    </fill>
    <fill>
      <patternFill patternType="solid">
        <fgColor rgb="FF71C5AF"/>
        <bgColor indexed="64"/>
      </patternFill>
    </fill>
    <fill>
      <patternFill patternType="solid">
        <fgColor rgb="FF5AD3E0"/>
        <bgColor indexed="64"/>
      </patternFill>
    </fill>
    <fill>
      <patternFill patternType="solid">
        <fgColor rgb="FF00B050"/>
        <bgColor indexed="64"/>
      </patternFill>
    </fill>
    <fill>
      <patternFill patternType="solid">
        <fgColor theme="8" tint="0.79998168889431442"/>
        <bgColor indexed="64"/>
      </patternFill>
    </fill>
    <fill>
      <patternFill patternType="solid">
        <fgColor theme="7" tint="0.59999389629810485"/>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rgb="FFD0D7E5"/>
      </left>
      <right style="thin">
        <color rgb="FFD0D7E5"/>
      </right>
      <top style="thin">
        <color rgb="FFD0D7E5"/>
      </top>
      <bottom style="thin">
        <color rgb="FFD0D7E5"/>
      </bottom>
      <diagonal/>
    </border>
    <border>
      <left style="thin">
        <color auto="1"/>
      </left>
      <right/>
      <top style="thin">
        <color auto="1"/>
      </top>
      <bottom style="thin">
        <color auto="1"/>
      </bottom>
      <diagonal/>
    </border>
  </borders>
  <cellStyleXfs count="5">
    <xf numFmtId="0" fontId="0"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cellStyleXfs>
  <cellXfs count="188">
    <xf numFmtId="0" fontId="0" fillId="0" borderId="0" xfId="0"/>
    <xf numFmtId="0" fontId="0" fillId="0" borderId="0" xfId="0" applyAlignment="1">
      <alignment horizontal="center"/>
    </xf>
    <xf numFmtId="0" fontId="1" fillId="0" borderId="0" xfId="0" applyFont="1" applyAlignment="1">
      <alignment horizontal="center"/>
    </xf>
    <xf numFmtId="0" fontId="1" fillId="0" borderId="0" xfId="0" applyFont="1" applyAlignment="1">
      <alignment horizontal="left"/>
    </xf>
    <xf numFmtId="0" fontId="0" fillId="0" borderId="0" xfId="0" applyAlignment="1">
      <alignment wrapText="1"/>
    </xf>
    <xf numFmtId="44" fontId="0" fillId="0" borderId="0" xfId="1" applyFont="1" applyAlignment="1">
      <alignment horizontal="center" vertical="center"/>
    </xf>
    <xf numFmtId="0" fontId="0" fillId="0" borderId="0" xfId="0" applyAlignment="1">
      <alignment horizontal="center" wrapText="1"/>
    </xf>
    <xf numFmtId="0" fontId="1" fillId="0" borderId="0" xfId="0" applyFont="1" applyAlignment="1">
      <alignment horizontal="center" wrapText="1"/>
    </xf>
    <xf numFmtId="0" fontId="2" fillId="2" borderId="1" xfId="0" applyFont="1" applyFill="1" applyBorder="1" applyAlignment="1">
      <alignment horizontal="center" wrapText="1"/>
    </xf>
    <xf numFmtId="4" fontId="2" fillId="2" borderId="1" xfId="0" applyNumberFormat="1" applyFont="1" applyFill="1" applyBorder="1" applyAlignment="1">
      <alignment horizontal="center" wrapText="1"/>
    </xf>
    <xf numFmtId="0" fontId="2" fillId="2" borderId="1" xfId="0" applyFont="1" applyFill="1" applyBorder="1" applyAlignment="1">
      <alignment horizontal="center"/>
    </xf>
    <xf numFmtId="0" fontId="1" fillId="0" borderId="0" xfId="0" applyFont="1"/>
    <xf numFmtId="0" fontId="5" fillId="0" borderId="0" xfId="0" applyFont="1"/>
    <xf numFmtId="0" fontId="1" fillId="0" borderId="1" xfId="0" applyFont="1" applyBorder="1" applyAlignment="1">
      <alignment horizontal="center" vertical="center" wrapText="1"/>
    </xf>
    <xf numFmtId="3" fontId="0" fillId="0" borderId="0" xfId="0" applyNumberFormat="1" applyAlignment="1">
      <alignment horizontal="center"/>
    </xf>
    <xf numFmtId="3" fontId="1" fillId="0" borderId="1" xfId="0" applyNumberFormat="1" applyFont="1" applyBorder="1" applyAlignment="1">
      <alignment horizontal="center" vertical="center"/>
    </xf>
    <xf numFmtId="0" fontId="0" fillId="0" borderId="0" xfId="0" applyAlignment="1">
      <alignment horizontal="right" wrapText="1"/>
    </xf>
    <xf numFmtId="164" fontId="1" fillId="0" borderId="1" xfId="1" applyNumberFormat="1" applyFont="1" applyBorder="1" applyAlignment="1">
      <alignment horizontal="center" vertical="center"/>
    </xf>
    <xf numFmtId="164" fontId="0" fillId="0" borderId="0" xfId="1" applyNumberFormat="1" applyFont="1" applyAlignment="1">
      <alignment horizontal="center" vertical="center"/>
    </xf>
    <xf numFmtId="0" fontId="1" fillId="0" borderId="1" xfId="0" applyFont="1" applyBorder="1" applyAlignment="1">
      <alignment horizontal="center" vertical="center"/>
    </xf>
    <xf numFmtId="0" fontId="0" fillId="0" borderId="0" xfId="0" applyAlignment="1">
      <alignment horizontal="left"/>
    </xf>
    <xf numFmtId="164" fontId="1"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1" fillId="0" borderId="0" xfId="0" applyFont="1" applyAlignment="1">
      <alignment horizontal="center" vertical="center"/>
    </xf>
    <xf numFmtId="3" fontId="1" fillId="0" borderId="1" xfId="0" applyNumberFormat="1" applyFont="1" applyBorder="1" applyAlignment="1">
      <alignment horizontal="center" vertical="center" wrapText="1"/>
    </xf>
    <xf numFmtId="0" fontId="0" fillId="0" borderId="1" xfId="0" applyBorder="1"/>
    <xf numFmtId="0" fontId="2" fillId="2" borderId="1" xfId="0" applyFont="1" applyFill="1" applyBorder="1" applyAlignment="1">
      <alignment horizontal="center" vertical="center" wrapText="1"/>
    </xf>
    <xf numFmtId="44" fontId="1" fillId="0" borderId="1" xfId="1" applyFont="1" applyBorder="1" applyAlignment="1">
      <alignment horizontal="center" vertical="center"/>
    </xf>
    <xf numFmtId="164" fontId="1" fillId="0" borderId="1" xfId="0" applyNumberFormat="1" applyFont="1" applyBorder="1" applyAlignment="1">
      <alignment horizontal="center" vertical="center"/>
    </xf>
    <xf numFmtId="3" fontId="0" fillId="0" borderId="0" xfId="0" applyNumberFormat="1"/>
    <xf numFmtId="3" fontId="1" fillId="0" borderId="0" xfId="0" applyNumberFormat="1" applyFont="1" applyAlignment="1">
      <alignment horizontal="center" vertical="center"/>
    </xf>
    <xf numFmtId="0" fontId="2" fillId="2" borderId="4" xfId="0" applyFont="1" applyFill="1" applyBorder="1" applyAlignment="1">
      <alignment horizontal="center" vertical="center" wrapText="1"/>
    </xf>
    <xf numFmtId="0" fontId="0" fillId="0" borderId="1" xfId="0" applyBorder="1" applyAlignment="1">
      <alignment horizontal="left"/>
    </xf>
    <xf numFmtId="0" fontId="1" fillId="6" borderId="1" xfId="0" applyFont="1" applyFill="1" applyBorder="1" applyAlignment="1">
      <alignment horizontal="center" vertical="center" wrapText="1"/>
    </xf>
    <xf numFmtId="0" fontId="0" fillId="0" borderId="0" xfId="0" pivotButton="1"/>
    <xf numFmtId="0" fontId="0" fillId="0" borderId="1" xfId="0" applyBorder="1" applyAlignment="1">
      <alignment wrapText="1"/>
    </xf>
    <xf numFmtId="0" fontId="1" fillId="7" borderId="1" xfId="0" applyFont="1" applyFill="1" applyBorder="1" applyAlignment="1">
      <alignment horizontal="center" vertical="center" wrapText="1"/>
    </xf>
    <xf numFmtId="0" fontId="0" fillId="8" borderId="0" xfId="0" applyFill="1"/>
    <xf numFmtId="164" fontId="0" fillId="0" borderId="0" xfId="0" applyNumberFormat="1"/>
    <xf numFmtId="1" fontId="0" fillId="0" borderId="0" xfId="0" applyNumberFormat="1"/>
    <xf numFmtId="0" fontId="4" fillId="0" borderId="0" xfId="0" applyFont="1"/>
    <xf numFmtId="0" fontId="0" fillId="9" borderId="0" xfId="0" applyFill="1"/>
    <xf numFmtId="0" fontId="3" fillId="10" borderId="1" xfId="0" applyFont="1" applyFill="1" applyBorder="1" applyAlignment="1">
      <alignment horizontal="center" vertical="center"/>
    </xf>
    <xf numFmtId="3" fontId="0" fillId="0" borderId="1" xfId="0" applyNumberFormat="1" applyBorder="1"/>
    <xf numFmtId="0" fontId="5" fillId="5" borderId="5" xfId="4" applyFont="1" applyFill="1" applyBorder="1" applyAlignment="1">
      <alignment horizontal="left"/>
    </xf>
    <xf numFmtId="0" fontId="0" fillId="0" borderId="0" xfId="0" applyNumberFormat="1"/>
    <xf numFmtId="0" fontId="1" fillId="4" borderId="1" xfId="0" applyFont="1" applyFill="1" applyBorder="1" applyAlignment="1">
      <alignment horizontal="center" vertical="center" wrapText="1"/>
    </xf>
    <xf numFmtId="0" fontId="0" fillId="0" borderId="1" xfId="0" applyNumberFormat="1" applyBorder="1"/>
    <xf numFmtId="0" fontId="0" fillId="11" borderId="0" xfId="0" applyFill="1"/>
    <xf numFmtId="164" fontId="1" fillId="0" borderId="1" xfId="1" applyNumberFormat="1" applyFont="1" applyFill="1" applyBorder="1" applyAlignment="1">
      <alignment horizontal="center" vertical="center" wrapText="1"/>
    </xf>
    <xf numFmtId="164" fontId="1" fillId="0" borderId="2" xfId="1" applyNumberFormat="1" applyFont="1" applyFill="1" applyBorder="1" applyAlignment="1">
      <alignment horizontal="center" vertical="center" wrapText="1"/>
    </xf>
    <xf numFmtId="0" fontId="0" fillId="0" borderId="0" xfId="0" applyFill="1"/>
    <xf numFmtId="0" fontId="2" fillId="3" borderId="1" xfId="0" applyFont="1" applyFill="1" applyBorder="1" applyAlignment="1">
      <alignment horizontal="center" vertical="center" wrapText="1"/>
    </xf>
    <xf numFmtId="9" fontId="2" fillId="3" borderId="1" xfId="2"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12" borderId="0" xfId="0" applyFill="1"/>
    <xf numFmtId="0" fontId="5" fillId="0" borderId="0" xfId="0" applyFont="1" applyAlignment="1">
      <alignment wrapText="1"/>
    </xf>
    <xf numFmtId="3" fontId="0" fillId="13" borderId="1" xfId="0" applyNumberFormat="1" applyFill="1" applyBorder="1"/>
    <xf numFmtId="0" fontId="0" fillId="14" borderId="0" xfId="0" applyFill="1"/>
    <xf numFmtId="0" fontId="1" fillId="15" borderId="1" xfId="0" applyFont="1" applyFill="1" applyBorder="1" applyAlignment="1">
      <alignment horizontal="center" vertical="center" wrapText="1"/>
    </xf>
    <xf numFmtId="0" fontId="0" fillId="15" borderId="0" xfId="0" applyFill="1"/>
    <xf numFmtId="49" fontId="1" fillId="15" borderId="1" xfId="0" applyNumberFormat="1" applyFont="1" applyFill="1" applyBorder="1" applyAlignment="1">
      <alignment horizontal="center" vertical="center" wrapText="1"/>
    </xf>
    <xf numFmtId="3" fontId="1" fillId="15" borderId="1" xfId="0" applyNumberFormat="1" applyFont="1" applyFill="1" applyBorder="1" applyAlignment="1">
      <alignment horizontal="center" vertical="center" wrapText="1"/>
    </xf>
    <xf numFmtId="0" fontId="0" fillId="6" borderId="0" xfId="0" applyFill="1"/>
    <xf numFmtId="0" fontId="0" fillId="16" borderId="0" xfId="0" applyFill="1"/>
    <xf numFmtId="0" fontId="0" fillId="4" borderId="0" xfId="0" applyFill="1"/>
    <xf numFmtId="3" fontId="9" fillId="0" borderId="1" xfId="0" applyNumberFormat="1" applyFont="1" applyBorder="1" applyAlignment="1">
      <alignment horizontal="center" vertical="center" wrapText="1"/>
    </xf>
    <xf numFmtId="3" fontId="10" fillId="17" borderId="1" xfId="0" applyNumberFormat="1" applyFont="1" applyFill="1" applyBorder="1" applyAlignment="1">
      <alignment horizontal="center" vertical="center" wrapText="1"/>
    </xf>
    <xf numFmtId="165" fontId="0" fillId="0" borderId="0" xfId="0" applyNumberFormat="1"/>
    <xf numFmtId="0" fontId="10" fillId="2" borderId="1" xfId="0" applyFont="1" applyFill="1" applyBorder="1" applyAlignment="1">
      <alignment horizontal="center" vertical="center" wrapText="1"/>
    </xf>
    <xf numFmtId="3" fontId="10" fillId="2" borderId="1" xfId="0" applyNumberFormat="1" applyFont="1" applyFill="1" applyBorder="1" applyAlignment="1">
      <alignment horizontal="center" vertical="center"/>
    </xf>
    <xf numFmtId="3" fontId="9" fillId="17" borderId="1" xfId="0" applyNumberFormat="1" applyFont="1" applyFill="1" applyBorder="1" applyAlignment="1">
      <alignment horizontal="center" vertical="center" wrapText="1"/>
    </xf>
    <xf numFmtId="3" fontId="9"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3" fontId="9" fillId="18" borderId="1" xfId="0" applyNumberFormat="1" applyFont="1" applyFill="1" applyBorder="1" applyAlignment="1">
      <alignment horizontal="center" vertical="center" wrapText="1"/>
    </xf>
    <xf numFmtId="0" fontId="0" fillId="18" borderId="0" xfId="0" applyFill="1"/>
    <xf numFmtId="9" fontId="9" fillId="0" borderId="1" xfId="2" applyFont="1" applyBorder="1" applyAlignment="1">
      <alignment horizontal="center" vertical="center" wrapText="1"/>
    </xf>
    <xf numFmtId="9" fontId="10" fillId="2" borderId="1" xfId="2" applyFont="1" applyFill="1" applyBorder="1" applyAlignment="1">
      <alignment horizontal="center" vertical="center"/>
    </xf>
    <xf numFmtId="9" fontId="0" fillId="0" borderId="0" xfId="2" applyFont="1"/>
    <xf numFmtId="9" fontId="9" fillId="17" borderId="1" xfId="2" applyFont="1" applyFill="1" applyBorder="1" applyAlignment="1">
      <alignment horizontal="center" vertical="center" wrapText="1"/>
    </xf>
    <xf numFmtId="9" fontId="9" fillId="0" borderId="1" xfId="2" applyFont="1" applyFill="1" applyBorder="1" applyAlignment="1">
      <alignment horizontal="center" vertical="center" wrapText="1"/>
    </xf>
    <xf numFmtId="0" fontId="0" fillId="0" borderId="1" xfId="0" pivotButton="1" applyBorder="1"/>
    <xf numFmtId="0" fontId="11" fillId="0" borderId="1" xfId="0" applyFont="1" applyBorder="1" applyAlignment="1">
      <alignment vertical="center" wrapText="1"/>
    </xf>
    <xf numFmtId="0" fontId="3" fillId="19" borderId="1" xfId="0" applyFont="1" applyFill="1" applyBorder="1" applyAlignment="1">
      <alignment horizontal="center" wrapText="1"/>
    </xf>
    <xf numFmtId="164" fontId="1" fillId="0" borderId="1" xfId="0" applyNumberFormat="1" applyFont="1" applyFill="1" applyBorder="1" applyAlignment="1">
      <alignment horizontal="center" vertical="center" wrapText="1"/>
    </xf>
    <xf numFmtId="0" fontId="0" fillId="0" borderId="0" xfId="0" applyFill="1" applyAlignment="1">
      <alignment horizontal="center"/>
    </xf>
    <xf numFmtId="164" fontId="3" fillId="19" borderId="1" xfId="0" applyNumberFormat="1" applyFont="1" applyFill="1" applyBorder="1" applyAlignment="1">
      <alignment horizontal="center" wrapText="1"/>
    </xf>
    <xf numFmtId="0" fontId="2" fillId="2" borderId="4" xfId="0" applyFont="1" applyFill="1" applyBorder="1" applyAlignment="1">
      <alignment horizontal="center"/>
    </xf>
    <xf numFmtId="0" fontId="1" fillId="0" borderId="4" xfId="0" applyFont="1" applyBorder="1" applyAlignment="1">
      <alignment horizontal="center" vertical="center" wrapText="1"/>
    </xf>
    <xf numFmtId="0" fontId="1" fillId="6" borderId="4"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quotePrefix="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3" fontId="1" fillId="0" borderId="2" xfId="0" applyNumberFormat="1" applyFont="1" applyFill="1" applyBorder="1" applyAlignment="1">
      <alignment horizontal="center" vertical="center" wrapText="1"/>
    </xf>
    <xf numFmtId="164" fontId="1" fillId="0" borderId="2"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3" fontId="1" fillId="0" borderId="3" xfId="0" applyNumberFormat="1" applyFont="1" applyFill="1" applyBorder="1" applyAlignment="1">
      <alignment horizontal="center" vertical="center" wrapText="1"/>
    </xf>
    <xf numFmtId="164" fontId="1" fillId="0" borderId="3" xfId="0" applyNumberFormat="1" applyFont="1" applyFill="1" applyBorder="1" applyAlignment="1">
      <alignment horizontal="center" vertical="center" wrapText="1"/>
    </xf>
    <xf numFmtId="0" fontId="1" fillId="0" borderId="1" xfId="3" applyFont="1" applyFill="1" applyBorder="1" applyAlignment="1">
      <alignment horizontal="center" vertical="center" wrapText="1"/>
    </xf>
    <xf numFmtId="49" fontId="1" fillId="0" borderId="1" xfId="0" quotePrefix="1" applyNumberFormat="1" applyFont="1" applyFill="1" applyBorder="1" applyAlignment="1">
      <alignment horizontal="center" vertical="center" wrapText="1"/>
    </xf>
    <xf numFmtId="0" fontId="1" fillId="0" borderId="0" xfId="0" applyFont="1" applyFill="1" applyAlignment="1">
      <alignment horizontal="center" vertical="center" wrapText="1"/>
    </xf>
    <xf numFmtId="0" fontId="3" fillId="20" borderId="1" xfId="0" applyFont="1" applyFill="1" applyBorder="1" applyAlignment="1">
      <alignment horizontal="center" vertical="center" wrapText="1"/>
    </xf>
    <xf numFmtId="49" fontId="3" fillId="20" borderId="1" xfId="0" applyNumberFormat="1" applyFont="1" applyFill="1" applyBorder="1" applyAlignment="1">
      <alignment horizontal="center" vertical="center" wrapText="1"/>
    </xf>
    <xf numFmtId="3" fontId="3" fillId="20" borderId="1" xfId="0" applyNumberFormat="1" applyFont="1" applyFill="1" applyBorder="1" applyAlignment="1">
      <alignment horizontal="center" vertical="center" wrapText="1"/>
    </xf>
    <xf numFmtId="164" fontId="3" fillId="20" borderId="1" xfId="0" applyNumberFormat="1" applyFont="1" applyFill="1" applyBorder="1" applyAlignment="1">
      <alignment horizontal="center" vertical="center" wrapText="1"/>
    </xf>
    <xf numFmtId="0" fontId="12" fillId="20" borderId="1" xfId="0" applyFont="1" applyFill="1" applyBorder="1" applyAlignment="1">
      <alignment horizontal="center" vertical="center" wrapText="1"/>
    </xf>
    <xf numFmtId="0" fontId="2" fillId="20" borderId="1" xfId="0" applyFont="1" applyFill="1" applyBorder="1" applyAlignment="1">
      <alignment horizontal="center" vertical="center" wrapText="1"/>
    </xf>
    <xf numFmtId="0" fontId="1" fillId="15" borderId="1" xfId="3" applyFont="1" applyFill="1" applyBorder="1" applyAlignment="1">
      <alignment horizontal="center" vertical="center" wrapText="1"/>
    </xf>
    <xf numFmtId="164" fontId="1" fillId="15" borderId="1" xfId="0" applyNumberFormat="1" applyFont="1" applyFill="1" applyBorder="1" applyAlignment="1">
      <alignment horizontal="center" vertical="center" wrapText="1"/>
    </xf>
    <xf numFmtId="0" fontId="6" fillId="15" borderId="1" xfId="0" applyFont="1" applyFill="1" applyBorder="1" applyAlignment="1">
      <alignment horizontal="center" vertical="center" wrapText="1"/>
    </xf>
    <xf numFmtId="0" fontId="1" fillId="21" borderId="1" xfId="0" applyFont="1" applyFill="1" applyBorder="1" applyAlignment="1">
      <alignment horizontal="center" vertical="center" wrapText="1"/>
    </xf>
    <xf numFmtId="0" fontId="0" fillId="21" borderId="0" xfId="0" applyFill="1"/>
    <xf numFmtId="0" fontId="1" fillId="0" borderId="4" xfId="0" applyFont="1" applyFill="1" applyBorder="1" applyAlignment="1">
      <alignment horizontal="center" vertical="center" wrapText="1"/>
    </xf>
    <xf numFmtId="164" fontId="1" fillId="0" borderId="0" xfId="0" applyNumberFormat="1" applyFont="1" applyFill="1" applyBorder="1" applyAlignment="1">
      <alignment horizontal="center" vertical="center" wrapText="1"/>
    </xf>
    <xf numFmtId="49" fontId="1" fillId="21" borderId="1" xfId="0" applyNumberFormat="1" applyFont="1" applyFill="1" applyBorder="1" applyAlignment="1">
      <alignment horizontal="center" vertical="center" wrapText="1"/>
    </xf>
    <xf numFmtId="3" fontId="1" fillId="21" borderId="1" xfId="0" applyNumberFormat="1" applyFont="1" applyFill="1" applyBorder="1" applyAlignment="1">
      <alignment horizontal="center" vertical="center" wrapText="1"/>
    </xf>
    <xf numFmtId="164" fontId="1" fillId="15" borderId="1" xfId="1" applyNumberFormat="1" applyFont="1" applyFill="1" applyBorder="1" applyAlignment="1">
      <alignment horizontal="center" vertical="center" wrapText="1"/>
    </xf>
    <xf numFmtId="167" fontId="1" fillId="15" borderId="1" xfId="0" applyNumberFormat="1" applyFont="1" applyFill="1" applyBorder="1" applyAlignment="1">
      <alignment horizontal="center" vertical="center" wrapText="1"/>
    </xf>
    <xf numFmtId="0" fontId="6" fillId="15" borderId="1" xfId="0" applyFont="1" applyFill="1" applyBorder="1" applyAlignment="1">
      <alignment horizontal="center" wrapText="1"/>
    </xf>
    <xf numFmtId="0" fontId="1" fillId="15" borderId="3" xfId="0" applyFont="1" applyFill="1" applyBorder="1" applyAlignment="1">
      <alignment horizontal="center" vertical="center" wrapText="1"/>
    </xf>
    <xf numFmtId="0" fontId="1" fillId="15" borderId="4" xfId="0" applyFont="1" applyFill="1" applyBorder="1" applyAlignment="1">
      <alignment horizontal="center" vertical="center" wrapText="1"/>
    </xf>
    <xf numFmtId="0" fontId="1" fillId="15" borderId="0" xfId="0" applyFont="1" applyFill="1" applyBorder="1" applyAlignment="1">
      <alignment horizontal="center" vertical="center" wrapText="1"/>
    </xf>
    <xf numFmtId="0" fontId="1" fillId="15" borderId="7" xfId="0" applyFont="1" applyFill="1" applyBorder="1" applyAlignment="1">
      <alignment horizontal="center" vertical="center" wrapText="1"/>
    </xf>
    <xf numFmtId="0" fontId="0" fillId="15" borderId="1" xfId="0" applyFill="1" applyBorder="1" applyAlignment="1">
      <alignment horizontal="center" vertical="center" wrapText="1"/>
    </xf>
    <xf numFmtId="0" fontId="1" fillId="20" borderId="0" xfId="0" applyFont="1" applyFill="1" applyAlignment="1">
      <alignment horizontal="center" vertical="center" wrapText="1"/>
    </xf>
    <xf numFmtId="49" fontId="1" fillId="0" borderId="0" xfId="0" applyNumberFormat="1" applyFont="1" applyFill="1" applyAlignment="1">
      <alignment horizontal="center" vertical="center" wrapText="1"/>
    </xf>
    <xf numFmtId="3" fontId="1" fillId="0" borderId="0" xfId="0" applyNumberFormat="1" applyFont="1" applyFill="1" applyAlignment="1">
      <alignment horizontal="center" vertical="center" wrapText="1"/>
    </xf>
    <xf numFmtId="164" fontId="1" fillId="0" borderId="0" xfId="1" applyNumberFormat="1" applyFont="1" applyFill="1" applyAlignment="1">
      <alignment horizontal="center" vertical="center" wrapText="1"/>
    </xf>
    <xf numFmtId="0" fontId="0" fillId="0" borderId="0" xfId="0" applyFill="1" applyAlignment="1">
      <alignment wrapText="1"/>
    </xf>
    <xf numFmtId="166" fontId="6" fillId="21" borderId="1" xfId="0" applyNumberFormat="1" applyFont="1" applyFill="1" applyBorder="1" applyAlignment="1">
      <alignment horizontal="center" wrapText="1"/>
    </xf>
    <xf numFmtId="3" fontId="6" fillId="21" borderId="1" xfId="0" applyNumberFormat="1" applyFont="1" applyFill="1" applyBorder="1" applyAlignment="1">
      <alignment horizontal="center" vertical="center" wrapText="1"/>
    </xf>
    <xf numFmtId="3" fontId="6" fillId="0" borderId="1" xfId="0" applyNumberFormat="1" applyFont="1" applyFill="1" applyBorder="1" applyAlignment="1">
      <alignment horizontal="center" vertical="center" wrapText="1"/>
    </xf>
    <xf numFmtId="0" fontId="8" fillId="0" borderId="0" xfId="0" applyFont="1" applyFill="1" applyAlignment="1">
      <alignment horizontal="center" vertical="center" wrapText="1"/>
    </xf>
    <xf numFmtId="3" fontId="1" fillId="0" borderId="1" xfId="1" applyNumberFormat="1" applyFont="1" applyFill="1" applyBorder="1" applyAlignment="1">
      <alignment horizontal="center" vertical="center" wrapText="1"/>
    </xf>
    <xf numFmtId="0" fontId="0" fillId="0" borderId="1" xfId="0" applyFill="1" applyBorder="1" applyAlignment="1">
      <alignment wrapText="1"/>
    </xf>
    <xf numFmtId="1" fontId="1" fillId="21" borderId="1" xfId="0" applyNumberFormat="1" applyFont="1" applyFill="1" applyBorder="1" applyAlignment="1">
      <alignment horizontal="center" vertical="center" wrapText="1"/>
    </xf>
    <xf numFmtId="3" fontId="1" fillId="21" borderId="1" xfId="1" applyNumberFormat="1" applyFont="1" applyFill="1" applyBorder="1" applyAlignment="1">
      <alignment horizontal="center" vertical="center" wrapText="1"/>
    </xf>
    <xf numFmtId="164" fontId="1" fillId="21" borderId="1" xfId="1" applyNumberFormat="1" applyFont="1" applyFill="1" applyBorder="1" applyAlignment="1">
      <alignment horizontal="center" vertical="center" wrapText="1"/>
    </xf>
    <xf numFmtId="3" fontId="1" fillId="15" borderId="1" xfId="1" applyNumberFormat="1" applyFont="1" applyFill="1" applyBorder="1" applyAlignment="1">
      <alignment horizontal="center" vertical="center" wrapText="1"/>
    </xf>
    <xf numFmtId="3" fontId="1" fillId="4" borderId="1" xfId="1" applyNumberFormat="1" applyFont="1" applyFill="1" applyBorder="1" applyAlignment="1">
      <alignment horizontal="center" vertical="center" wrapText="1"/>
    </xf>
    <xf numFmtId="164" fontId="1" fillId="4" borderId="1" xfId="1"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49" fontId="1" fillId="15" borderId="1" xfId="0" quotePrefix="1" applyNumberFormat="1" applyFont="1" applyFill="1" applyBorder="1" applyAlignment="1">
      <alignment horizontal="center" vertical="center" wrapText="1"/>
    </xf>
    <xf numFmtId="0" fontId="1" fillId="22" borderId="1" xfId="0" applyFont="1" applyFill="1" applyBorder="1" applyAlignment="1">
      <alignment horizontal="center" vertical="center" wrapText="1"/>
    </xf>
    <xf numFmtId="0" fontId="1" fillId="22" borderId="0" xfId="0" applyFont="1" applyFill="1" applyBorder="1" applyAlignment="1">
      <alignment horizontal="center" vertical="center" wrapText="1"/>
    </xf>
    <xf numFmtId="0" fontId="1" fillId="15" borderId="3" xfId="3" applyFont="1" applyFill="1" applyBorder="1" applyAlignment="1">
      <alignment horizontal="center" vertical="center" wrapText="1"/>
    </xf>
    <xf numFmtId="49" fontId="1" fillId="22" borderId="1" xfId="0" applyNumberFormat="1" applyFont="1" applyFill="1" applyBorder="1" applyAlignment="1">
      <alignment horizontal="center" vertical="center" wrapText="1"/>
    </xf>
    <xf numFmtId="49" fontId="1" fillId="15" borderId="2" xfId="0" applyNumberFormat="1" applyFont="1" applyFill="1" applyBorder="1" applyAlignment="1">
      <alignment horizontal="center" vertical="center" wrapText="1"/>
    </xf>
    <xf numFmtId="49" fontId="1" fillId="15" borderId="3" xfId="0" applyNumberFormat="1" applyFont="1" applyFill="1" applyBorder="1" applyAlignment="1">
      <alignment horizontal="center" vertical="center" wrapText="1"/>
    </xf>
    <xf numFmtId="3" fontId="1" fillId="22" borderId="1" xfId="0" applyNumberFormat="1" applyFont="1" applyFill="1" applyBorder="1" applyAlignment="1">
      <alignment horizontal="center" vertical="center" wrapText="1"/>
    </xf>
    <xf numFmtId="49" fontId="1" fillId="0" borderId="6" xfId="0"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 fillId="15" borderId="1" xfId="1" applyNumberFormat="1" applyFont="1" applyFill="1" applyBorder="1" applyAlignment="1">
      <alignment horizontal="center" vertical="center" wrapText="1"/>
    </xf>
    <xf numFmtId="49" fontId="1" fillId="22" borderId="1" xfId="1" applyNumberFormat="1" applyFont="1" applyFill="1" applyBorder="1" applyAlignment="1">
      <alignment horizontal="center" vertical="center" wrapText="1"/>
    </xf>
    <xf numFmtId="164" fontId="1" fillId="22" borderId="1" xfId="0" applyNumberFormat="1" applyFont="1" applyFill="1" applyBorder="1" applyAlignment="1">
      <alignment horizontal="center" vertical="center" wrapText="1"/>
    </xf>
    <xf numFmtId="0" fontId="0" fillId="22" borderId="0" xfId="0" applyFill="1"/>
    <xf numFmtId="3" fontId="6" fillId="21" borderId="1" xfId="0" applyNumberFormat="1" applyFont="1" applyFill="1" applyBorder="1" applyAlignment="1">
      <alignment horizontal="center" wrapText="1"/>
    </xf>
    <xf numFmtId="49" fontId="12" fillId="20" borderId="1" xfId="0" applyNumberFormat="1" applyFont="1" applyFill="1" applyBorder="1" applyAlignment="1">
      <alignment horizontal="center" vertical="center" wrapText="1"/>
    </xf>
    <xf numFmtId="49" fontId="1" fillId="0" borderId="1" xfId="0" applyNumberFormat="1" applyFont="1" applyBorder="1" applyAlignment="1">
      <alignment horizontal="center" vertical="center" wrapText="1"/>
    </xf>
    <xf numFmtId="49" fontId="1" fillId="15" borderId="1" xfId="3"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49" fontId="6" fillId="15" borderId="1" xfId="0" applyNumberFormat="1" applyFont="1" applyFill="1" applyBorder="1" applyAlignment="1">
      <alignment horizontal="center" vertical="center" wrapText="1"/>
    </xf>
    <xf numFmtId="49" fontId="6" fillId="21"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1" fillId="0" borderId="1" xfId="3" applyNumberFormat="1" applyFont="1" applyFill="1" applyBorder="1" applyAlignment="1">
      <alignment horizontal="center" vertical="center" wrapText="1"/>
    </xf>
    <xf numFmtId="49" fontId="1" fillId="0" borderId="0" xfId="0" applyNumberFormat="1" applyFont="1" applyFill="1" applyBorder="1" applyAlignment="1">
      <alignment horizontal="center" vertical="center" wrapText="1"/>
    </xf>
    <xf numFmtId="49" fontId="1" fillId="0" borderId="2" xfId="1" applyNumberFormat="1" applyFont="1" applyFill="1" applyBorder="1" applyAlignment="1">
      <alignment horizontal="center" vertical="center" wrapText="1"/>
    </xf>
    <xf numFmtId="49" fontId="0" fillId="15" borderId="1" xfId="0" applyNumberFormat="1" applyFill="1" applyBorder="1" applyAlignment="1">
      <alignment horizontal="center" vertical="center" wrapText="1"/>
    </xf>
    <xf numFmtId="49" fontId="1" fillId="15" borderId="0" xfId="0" applyNumberFormat="1" applyFont="1" applyFill="1" applyBorder="1" applyAlignment="1">
      <alignment horizontal="center" vertical="center" wrapText="1"/>
    </xf>
    <xf numFmtId="49" fontId="1" fillId="21" borderId="1" xfId="1" applyNumberFormat="1" applyFont="1" applyFill="1" applyBorder="1" applyAlignment="1">
      <alignment horizontal="center" vertical="center" wrapText="1"/>
    </xf>
    <xf numFmtId="1" fontId="3" fillId="20" borderId="1" xfId="0" applyNumberFormat="1" applyFont="1" applyFill="1" applyBorder="1" applyAlignment="1">
      <alignment horizontal="center" vertical="center" wrapText="1"/>
    </xf>
    <xf numFmtId="1" fontId="1" fillId="0" borderId="1" xfId="0" applyNumberFormat="1" applyFont="1" applyFill="1" applyBorder="1" applyAlignment="1">
      <alignment horizontal="center" vertical="center" wrapText="1"/>
    </xf>
    <xf numFmtId="1" fontId="1" fillId="0" borderId="1" xfId="0" quotePrefix="1" applyNumberFormat="1" applyFont="1" applyFill="1" applyBorder="1" applyAlignment="1">
      <alignment horizontal="center" vertical="center" wrapText="1"/>
    </xf>
    <xf numFmtId="1" fontId="1" fillId="0" borderId="2" xfId="0" applyNumberFormat="1" applyFont="1" applyFill="1" applyBorder="1" applyAlignment="1">
      <alignment horizontal="center" vertical="center" wrapText="1"/>
    </xf>
    <xf numFmtId="1" fontId="1" fillId="0" borderId="3" xfId="0" applyNumberFormat="1" applyFont="1" applyFill="1" applyBorder="1" applyAlignment="1">
      <alignment horizontal="center" vertical="center" wrapText="1"/>
    </xf>
    <xf numFmtId="0" fontId="1" fillId="23" borderId="4" xfId="0" applyFont="1" applyFill="1" applyBorder="1" applyAlignment="1">
      <alignment horizontal="center" vertical="center" wrapText="1"/>
    </xf>
    <xf numFmtId="49" fontId="1" fillId="23" borderId="1" xfId="0" applyNumberFormat="1" applyFont="1" applyFill="1" applyBorder="1" applyAlignment="1">
      <alignment horizontal="center" vertical="center" wrapText="1"/>
    </xf>
    <xf numFmtId="49" fontId="1" fillId="24" borderId="3" xfId="0" applyNumberFormat="1" applyFont="1" applyFill="1" applyBorder="1" applyAlignment="1">
      <alignment horizontal="center" vertical="center" wrapText="1"/>
    </xf>
    <xf numFmtId="49" fontId="1" fillId="24" borderId="1" xfId="0" applyNumberFormat="1" applyFont="1" applyFill="1" applyBorder="1" applyAlignment="1">
      <alignment horizontal="center" vertical="center" wrapText="1"/>
    </xf>
    <xf numFmtId="49" fontId="1" fillId="24" borderId="1" xfId="0" quotePrefix="1" applyNumberFormat="1" applyFont="1" applyFill="1" applyBorder="1" applyAlignment="1">
      <alignment horizontal="center" vertical="center" wrapText="1"/>
    </xf>
    <xf numFmtId="0" fontId="0" fillId="0" borderId="1" xfId="0" applyBorder="1" applyAlignment="1">
      <alignment horizontal="center" vertical="center"/>
    </xf>
    <xf numFmtId="0" fontId="0" fillId="25" borderId="1" xfId="0" applyFill="1" applyBorder="1" applyAlignment="1">
      <alignment horizontal="center" vertical="center"/>
    </xf>
    <xf numFmtId="0" fontId="0" fillId="26" borderId="1" xfId="0" applyFill="1" applyBorder="1" applyAlignment="1">
      <alignment horizontal="center" vertical="center"/>
    </xf>
    <xf numFmtId="0" fontId="0" fillId="0" borderId="0" xfId="0" applyFill="1" applyBorder="1" applyAlignment="1">
      <alignment horizontal="center" vertical="center"/>
    </xf>
    <xf numFmtId="0" fontId="0" fillId="0" borderId="0" xfId="0" applyFill="1" applyBorder="1"/>
  </cellXfs>
  <cellStyles count="5">
    <cellStyle name="Currency" xfId="1" builtinId="4"/>
    <cellStyle name="Normal" xfId="0" builtinId="0"/>
    <cellStyle name="Normal 16" xfId="3" xr:uid="{00000000-0005-0000-0000-000003000000}"/>
    <cellStyle name="Normal 2" xfId="4" xr:uid="{0DF23B39-BDDC-4825-9BA0-85111670EED2}"/>
    <cellStyle name="Percent" xfId="2" builtinId="5"/>
  </cellStyles>
  <dxfs count="20">
    <dxf>
      <numFmt numFmtId="3" formatCode="#,##0"/>
    </dxf>
    <dxf>
      <numFmt numFmtId="3" formatCode="#,##0"/>
    </dxf>
    <dxf>
      <numFmt numFmtId="3" formatCode="#,##0"/>
    </dxf>
    <dxf>
      <numFmt numFmtId="3" formatCode="#,##0"/>
    </dxf>
    <dxf>
      <numFmt numFmtId="3" formatCode="#,##0"/>
    </dxf>
    <dxf>
      <numFmt numFmtId="164" formatCode="&quot;$&quot;#,##0"/>
    </dxf>
    <dxf>
      <numFmt numFmtId="164" formatCode="&quot;$&quot;#,##0"/>
    </dxf>
    <dxf>
      <numFmt numFmtId="3" formatCode="#,##0"/>
    </dxf>
    <dxf>
      <numFmt numFmtId="3" formatCode="#,##0"/>
    </dxf>
    <dxf>
      <numFmt numFmtId="3" formatCode="#,##0"/>
    </dxf>
    <dxf>
      <numFmt numFmtId="164" formatCode="&quot;$&quot;#,##0"/>
    </dxf>
    <dxf>
      <numFmt numFmtId="164" formatCode="&quot;$&quot;#,##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dxf>
    <dxf>
      <numFmt numFmtId="3" formatCode="#,##0"/>
    </dxf>
  </dxfs>
  <tableStyles count="0" defaultTableStyle="TableStyleMedium2" defaultPivotStyle="PivotStyleLight16"/>
  <colors>
    <mruColors>
      <color rgb="FF5AD3E0"/>
      <color rgb="FF66CCFF"/>
      <color rgb="FFCC99FF"/>
      <color rgb="FFADE2ED"/>
      <color rgb="FFFF66FF"/>
      <color rgb="FFFF7C80"/>
      <color rgb="FFCA945E"/>
      <color rgb="FFFFFF66"/>
      <color rgb="FFE90E09"/>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openxmlformats.org/officeDocument/2006/relationships/theme" Target="theme/theme1.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pivotCacheDefinition" Target="pivotCache/pivotCacheDefinition5.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pivotCacheDefinition" Target="pivotCache/pivotCacheDefinition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pivotCacheDefinition" Target="pivotCache/pivotCacheDefinition3.xml"/><Relationship Id="rId23" Type="http://schemas.microsoft.com/office/2017/10/relationships/person" Target="persons/person.xml"/><Relationship Id="rId10" Type="http://schemas.openxmlformats.org/officeDocument/2006/relationships/externalLink" Target="externalLinks/externalLink1.xml"/><Relationship Id="rId19"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2.xml"/><Relationship Id="rId22" Type="http://schemas.openxmlformats.org/officeDocument/2006/relationships/powerPivotData" Target="model/item.data"/><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solidFill>
                  <a:sysClr val="windowText" lastClr="000000"/>
                </a:solidFill>
                <a:latin typeface="Times New Roman" panose="02020603050405020304" pitchFamily="18" charset="0"/>
                <a:cs typeface="Times New Roman" panose="02020603050405020304" pitchFamily="18" charset="0"/>
              </a:rPr>
              <a:t>Caloosahatchee Estuary TN Project Reductions</a:t>
            </a:r>
          </a:p>
        </c:rich>
      </c:tx>
      <c:layout>
        <c:manualLayout>
          <c:xMode val="edge"/>
          <c:yMode val="edge"/>
          <c:x val="0.25162756999125108"/>
          <c:y val="9.595216104945132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894247594050743"/>
          <c:y val="0.17716650229854469"/>
          <c:w val="0.85633530183727036"/>
          <c:h val="0.70850946812562943"/>
        </c:manualLayout>
      </c:layout>
      <c:lineChart>
        <c:grouping val="standard"/>
        <c:varyColors val="0"/>
        <c:ser>
          <c:idx val="0"/>
          <c:order val="0"/>
          <c:tx>
            <c:strRef>
              <c:f>'Progress Charts'!$A$4</c:f>
              <c:strCache>
                <c:ptCount val="1"/>
                <c:pt idx="0">
                  <c:v>Year</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'Progress Charts'!$A$5:$A$25</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'Progress Charts'!$A$5:$A$25</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val>
          <c:smooth val="0"/>
          <c:extLst>
            <c:ext xmlns:c16="http://schemas.microsoft.com/office/drawing/2014/chart" uri="{C3380CC4-5D6E-409C-BE32-E72D297353CC}">
              <c16:uniqueId val="{00000000-D326-43FA-BDBA-7ABF2BED02DD}"/>
            </c:ext>
          </c:extLst>
        </c:ser>
        <c:ser>
          <c:idx val="1"/>
          <c:order val="1"/>
          <c:tx>
            <c:strRef>
              <c:f>'Progress Charts'!$B$4</c:f>
              <c:strCache>
                <c:ptCount val="1"/>
                <c:pt idx="0">
                  <c:v>Project Reductions</c:v>
                </c:pt>
              </c:strCache>
            </c:strRef>
          </c:tx>
          <c:spPr>
            <a:ln w="28575" cap="rnd">
              <a:solidFill>
                <a:schemeClr val="tx1"/>
              </a:solidFill>
              <a:round/>
            </a:ln>
            <a:effectLst/>
          </c:spPr>
          <c:marker>
            <c:symbol val="circle"/>
            <c:size val="5"/>
            <c:spPr>
              <a:solidFill>
                <a:schemeClr val="tx1"/>
              </a:solidFill>
              <a:ln w="9525">
                <a:solidFill>
                  <a:schemeClr val="tx1"/>
                </a:solidFill>
              </a:ln>
              <a:effectLst/>
            </c:spPr>
          </c:marker>
          <c:cat>
            <c:numRef>
              <c:f>'Progress Charts'!$A$5:$A$25</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'Progress Charts'!$B$5:$B$25</c:f>
              <c:numCache>
                <c:formatCode>#,##0</c:formatCode>
                <c:ptCount val="21"/>
                <c:pt idx="0">
                  <c:v>557373.56579809368</c:v>
                </c:pt>
                <c:pt idx="1">
                  <c:v>577874.06065717177</c:v>
                </c:pt>
                <c:pt idx="2">
                  <c:v>579342.74960817816</c:v>
                </c:pt>
                <c:pt idx="3">
                  <c:v>655081.51548845263</c:v>
                </c:pt>
                <c:pt idx="4">
                  <c:v>671266.72475065175</c:v>
                </c:pt>
                <c:pt idx="5">
                  <c:v>678872.63556350255</c:v>
                </c:pt>
                <c:pt idx="6">
                  <c:v>690823.77571321232</c:v>
                </c:pt>
                <c:pt idx="7">
                  <c:v>707911.23658826272</c:v>
                </c:pt>
                <c:pt idx="8">
                  <c:v>708110.25644702022</c:v>
                </c:pt>
              </c:numCache>
            </c:numRef>
          </c:val>
          <c:smooth val="0"/>
          <c:extLst>
            <c:ext xmlns:c16="http://schemas.microsoft.com/office/drawing/2014/chart" uri="{C3380CC4-5D6E-409C-BE32-E72D297353CC}">
              <c16:uniqueId val="{00000001-D326-43FA-BDBA-7ABF2BED02DD}"/>
            </c:ext>
          </c:extLst>
        </c:ser>
        <c:ser>
          <c:idx val="2"/>
          <c:order val="2"/>
          <c:tx>
            <c:strRef>
              <c:f>'Progress Charts'!$C$4</c:f>
              <c:strCache>
                <c:ptCount val="1"/>
                <c:pt idx="0">
                  <c:v>5-Year Milestone</c:v>
                </c:pt>
              </c:strCache>
            </c:strRef>
          </c:tx>
          <c:spPr>
            <a:ln w="28575" cap="rnd">
              <a:solidFill>
                <a:schemeClr val="accent3"/>
              </a:solidFill>
              <a:round/>
            </a:ln>
            <a:effectLst/>
          </c:spPr>
          <c:marker>
            <c:symbol val="circle"/>
            <c:size val="5"/>
            <c:spPr>
              <a:solidFill>
                <a:schemeClr val="tx1"/>
              </a:solidFill>
              <a:ln w="9525">
                <a:solidFill>
                  <a:schemeClr val="tx1">
                    <a:alpha val="95000"/>
                  </a:schemeClr>
                </a:solidFill>
              </a:ln>
              <a:effectLst/>
            </c:spPr>
          </c:marker>
          <c:dLbls>
            <c:spPr>
              <a:noFill/>
              <a:ln>
                <a:noFill/>
              </a:ln>
              <a:effectLst/>
            </c:spPr>
            <c:txPr>
              <a:bodyPr rot="0" spcFirstLastPara="1" vertOverflow="ellipsis" vert="horz" wrap="square" lIns="38100" tIns="19050" rIns="38100" bIns="19050" anchor="ctr" anchorCtr="0">
                <a:spAutoFit/>
              </a:bodyPr>
              <a:lstStyle/>
              <a:p>
                <a:pPr algn="ctr">
                  <a:defRPr lang="en-US"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'Progress Charts'!$A$5:$A$25</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'Progress Charts'!$C$5:$C$25</c:f>
              <c:numCache>
                <c:formatCode>#,##0</c:formatCode>
                <c:ptCount val="21"/>
                <c:pt idx="5">
                  <c:v>455338</c:v>
                </c:pt>
              </c:numCache>
            </c:numRef>
          </c:val>
          <c:smooth val="0"/>
          <c:extLst>
            <c:ext xmlns:c16="http://schemas.microsoft.com/office/drawing/2014/chart" uri="{C3380CC4-5D6E-409C-BE32-E72D297353CC}">
              <c16:uniqueId val="{0000000A-0526-464B-B8FC-BD7E1A3A36E1}"/>
            </c:ext>
          </c:extLst>
        </c:ser>
        <c:ser>
          <c:idx val="3"/>
          <c:order val="3"/>
          <c:tx>
            <c:strRef>
              <c:f>'Progress Charts'!$D$4</c:f>
              <c:strCache>
                <c:ptCount val="1"/>
                <c:pt idx="0">
                  <c:v>10-Year Milestone</c:v>
                </c:pt>
              </c:strCache>
            </c:strRef>
          </c:tx>
          <c:spPr>
            <a:ln w="28575" cap="rnd">
              <a:noFill/>
              <a:round/>
            </a:ln>
            <a:effectLst/>
          </c:spPr>
          <c:marker>
            <c:symbol val="circle"/>
            <c:size val="5"/>
            <c:spPr>
              <a:solidFill>
                <a:schemeClr val="tx1"/>
              </a:solidFill>
              <a:ln w="9525">
                <a:solidFill>
                  <a:schemeClr val="tx1"/>
                </a:solidFill>
              </a:ln>
              <a:effectLst/>
            </c:spPr>
          </c:marker>
          <c:dLbls>
            <c:dLbl>
              <c:idx val="10"/>
              <c:tx>
                <c:rich>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10-Year Milestone</a:t>
                    </a:r>
                  </a:p>
                  <a:p>
                    <a:pPr>
                      <a:defRPr sz="1100">
                        <a:solidFill>
                          <a:sysClr val="windowText" lastClr="000000"/>
                        </a:solidFill>
                        <a:latin typeface="Times New Roman" panose="02020603050405020304" pitchFamily="18" charset="0"/>
                        <a:cs typeface="Times New Roman" panose="02020603050405020304" pitchFamily="18" charset="0"/>
                      </a:defRPr>
                    </a:pPr>
                    <a:fld id="{6B15126B-A197-46DA-AEBB-3DB8964034E2}" type="VALUE">
                      <a:rPr lang="en-US"/>
                      <a:pPr>
                        <a:defRPr sz="1100">
                          <a:solidFill>
                            <a:sysClr val="windowText" lastClr="000000"/>
                          </a:solidFill>
                          <a:latin typeface="Times New Roman" panose="02020603050405020304" pitchFamily="18" charset="0"/>
                          <a:cs typeface="Times New Roman" panose="02020603050405020304" pitchFamily="18" charset="0"/>
                        </a:defRPr>
                      </a:pPr>
                      <a:t>[VALUE]</a:t>
                    </a:fld>
                    <a:endParaRPr lang="en-US"/>
                  </a:p>
                </c:rich>
              </c:tx>
              <c:numFmt formatCode="#,##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FB03-407A-A7DE-0A4E584ABD5D}"/>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'Progress Charts'!$A$5:$A$25</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'Progress Charts'!$D$5:$D$25</c:f>
              <c:numCache>
                <c:formatCode>#,##0</c:formatCode>
                <c:ptCount val="21"/>
                <c:pt idx="10">
                  <c:v>683007</c:v>
                </c:pt>
              </c:numCache>
            </c:numRef>
          </c:val>
          <c:smooth val="0"/>
          <c:extLst>
            <c:ext xmlns:c16="http://schemas.microsoft.com/office/drawing/2014/chart" uri="{C3380CC4-5D6E-409C-BE32-E72D297353CC}">
              <c16:uniqueId val="{00000000-FB03-407A-A7DE-0A4E584ABD5D}"/>
            </c:ext>
          </c:extLst>
        </c:ser>
        <c:ser>
          <c:idx val="5"/>
          <c:order val="4"/>
          <c:tx>
            <c:strRef>
              <c:f>'Progress Charts'!$E$4</c:f>
              <c:strCache>
                <c:ptCount val="1"/>
                <c:pt idx="0">
                  <c:v>15-Year Milestone</c:v>
                </c:pt>
              </c:strCache>
              <c:extLst xmlns:c15="http://schemas.microsoft.com/office/drawing/2012/chart"/>
            </c:strRef>
          </c:tx>
          <c:spPr>
            <a:ln w="28575" cap="rnd">
              <a:solidFill>
                <a:schemeClr val="accent6"/>
              </a:solidFill>
              <a:round/>
            </a:ln>
            <a:effectLst/>
          </c:spPr>
          <c:marker>
            <c:symbol val="none"/>
          </c:marker>
          <c:dPt>
            <c:idx val="15"/>
            <c:marker>
              <c:symbol val="circle"/>
              <c:size val="5"/>
              <c:spPr>
                <a:solidFill>
                  <a:schemeClr val="tx1"/>
                </a:solidFill>
                <a:ln w="9525">
                  <a:solidFill>
                    <a:schemeClr val="tx1"/>
                  </a:solidFill>
                </a:ln>
                <a:effectLst/>
              </c:spPr>
            </c:marker>
            <c:bubble3D val="0"/>
            <c:extLst>
              <c:ext xmlns:c16="http://schemas.microsoft.com/office/drawing/2014/chart" uri="{C3380CC4-5D6E-409C-BE32-E72D297353CC}">
                <c16:uniqueId val="{00000003-240E-416B-A733-14252425EA67}"/>
              </c:ext>
            </c:extLst>
          </c:dPt>
          <c:dPt>
            <c:idx val="21"/>
            <c:marker>
              <c:symbol val="none"/>
            </c:marker>
            <c:bubble3D val="0"/>
            <c:extLst xmlns:c15="http://schemas.microsoft.com/office/drawing/2012/chart">
              <c:ext xmlns:c16="http://schemas.microsoft.com/office/drawing/2014/chart" uri="{C3380CC4-5D6E-409C-BE32-E72D297353CC}">
                <c16:uniqueId val="{00000000-A4C3-49B4-8DE0-6AFF8F85539E}"/>
              </c:ext>
            </c:extLst>
          </c:dPt>
          <c:dLbls>
            <c:dLbl>
              <c:idx val="15"/>
              <c:dLblPos val="t"/>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240E-416B-A733-14252425EA67}"/>
                </c:ext>
              </c:extLst>
            </c:dLbl>
            <c:spPr>
              <a:noFill/>
              <a:ln>
                <a:noFill/>
              </a:ln>
              <a:effectLst/>
            </c:spPr>
            <c:txPr>
              <a:bodyPr rot="0" spcFirstLastPara="1" vertOverflow="ellipsis" vert="horz" wrap="square" lIns="38100" tIns="19050" rIns="38100" bIns="19050" anchor="ctr" anchorCtr="0">
                <a:spAutoFit/>
              </a:bodyPr>
              <a:lstStyle/>
              <a:p>
                <a:pPr algn="ctr">
                  <a:defRPr lang="en-US"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noFill/>
                      <a:round/>
                    </a:ln>
                    <a:effectLst/>
                  </c:spPr>
                </c15:leaderLines>
              </c:ext>
            </c:extLst>
          </c:dLbls>
          <c:cat>
            <c:numRef>
              <c:f>'Progress Charts'!$A$5:$A$25</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extLst xmlns:c15="http://schemas.microsoft.com/office/drawing/2012/chart"/>
            </c:numRef>
          </c:cat>
          <c:val>
            <c:numRef>
              <c:f>'Progress Charts'!$E$5:$E$25</c:f>
              <c:numCache>
                <c:formatCode>#,##0</c:formatCode>
                <c:ptCount val="21"/>
                <c:pt idx="15">
                  <c:v>865142</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2-FB03-407A-A7DE-0A4E584ABD5D}"/>
            </c:ext>
          </c:extLst>
        </c:ser>
        <c:ser>
          <c:idx val="4"/>
          <c:order val="5"/>
          <c:tx>
            <c:strRef>
              <c:f>'Progress Charts'!$F$4</c:f>
              <c:strCache>
                <c:ptCount val="1"/>
                <c:pt idx="0">
                  <c:v>Total Reductions Required</c:v>
                </c:pt>
              </c:strCache>
            </c:strRef>
          </c:tx>
          <c:spPr>
            <a:ln w="28575" cap="rnd">
              <a:solidFill>
                <a:schemeClr val="accent5"/>
              </a:solidFill>
              <a:round/>
            </a:ln>
            <a:effectLst/>
          </c:spPr>
          <c:marker>
            <c:symbol val="none"/>
          </c:marker>
          <c:dPt>
            <c:idx val="20"/>
            <c:marker>
              <c:symbol val="circle"/>
              <c:size val="5"/>
              <c:spPr>
                <a:solidFill>
                  <a:schemeClr val="tx1"/>
                </a:solidFill>
                <a:ln w="9525">
                  <a:solidFill>
                    <a:schemeClr val="tx1"/>
                  </a:solidFill>
                </a:ln>
                <a:effectLst/>
              </c:spPr>
            </c:marker>
            <c:bubble3D val="0"/>
            <c:spPr>
              <a:ln w="28575" cap="rnd">
                <a:solidFill>
                  <a:schemeClr val="accent5"/>
                </a:solidFill>
                <a:round/>
              </a:ln>
              <a:effectLst/>
            </c:spPr>
            <c:extLst>
              <c:ext xmlns:c16="http://schemas.microsoft.com/office/drawing/2014/chart" uri="{C3380CC4-5D6E-409C-BE32-E72D297353CC}">
                <c16:uniqueId val="{00000003-A4C3-49B4-8DE0-6AFF8F85539E}"/>
              </c:ext>
            </c:extLst>
          </c:dPt>
          <c:dLbls>
            <c:dLbl>
              <c:idx val="20"/>
              <c:layout>
                <c:manualLayout>
                  <c:x val="-1.2731334408019992E-16"/>
                  <c:y val="-5.5465223097112847E-2"/>
                </c:manualLayout>
              </c:layout>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A4C3-49B4-8DE0-6AFF8F85539E}"/>
                </c:ext>
              </c:extLst>
            </c:dLbl>
            <c:spPr>
              <a:noFill/>
              <a:ln>
                <a:noFill/>
              </a:ln>
              <a:effectLst/>
            </c:spPr>
            <c:txPr>
              <a:bodyPr rot="0" spcFirstLastPara="1" vertOverflow="ellipsis" vert="horz" wrap="square" lIns="38100" tIns="19050" rIns="38100" bIns="19050" anchor="ctr" anchorCtr="0">
                <a:spAutoFit/>
              </a:bodyPr>
              <a:lstStyle/>
              <a:p>
                <a:pPr algn="ctr">
                  <a:defRPr lang="en-US"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'Progress Charts'!$A$5:$A$25</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'Progress Charts'!$F$5:$F$25</c:f>
              <c:numCache>
                <c:formatCode>#,##0</c:formatCode>
                <c:ptCount val="21"/>
                <c:pt idx="20">
                  <c:v>910676</c:v>
                </c:pt>
              </c:numCache>
            </c:numRef>
          </c:val>
          <c:smooth val="0"/>
          <c:extLst>
            <c:ext xmlns:c16="http://schemas.microsoft.com/office/drawing/2014/chart" uri="{C3380CC4-5D6E-409C-BE32-E72D297353CC}">
              <c16:uniqueId val="{00000002-A4C3-49B4-8DE0-6AFF8F85539E}"/>
            </c:ext>
          </c:extLst>
        </c:ser>
        <c:dLbls>
          <c:showLegendKey val="0"/>
          <c:showVal val="0"/>
          <c:showCatName val="0"/>
          <c:showSerName val="0"/>
          <c:showPercent val="0"/>
          <c:showBubbleSize val="0"/>
        </c:dLbls>
        <c:smooth val="0"/>
        <c:axId val="141337504"/>
        <c:axId val="141337896"/>
      </c:lineChart>
      <c:catAx>
        <c:axId val="141337504"/>
        <c:scaling>
          <c:orientation val="minMax"/>
        </c:scaling>
        <c:delete val="0"/>
        <c:axPos val="b"/>
        <c:title>
          <c:tx>
            <c:rich>
              <a:bodyPr rot="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b="1">
                    <a:solidFill>
                      <a:sysClr val="windowText" lastClr="000000"/>
                    </a:solidFill>
                    <a:latin typeface="Times New Roman" panose="02020603050405020304" pitchFamily="18" charset="0"/>
                    <a:cs typeface="Times New Roman" panose="02020603050405020304" pitchFamily="18" charset="0"/>
                  </a:rPr>
                  <a:t>Year</a:t>
                </a:r>
              </a:p>
            </c:rich>
          </c:tx>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41337896"/>
        <c:crosses val="autoZero"/>
        <c:auto val="1"/>
        <c:lblAlgn val="ctr"/>
        <c:lblOffset val="100"/>
        <c:noMultiLvlLbl val="0"/>
      </c:catAx>
      <c:valAx>
        <c:axId val="141337896"/>
        <c:scaling>
          <c:orientation val="minMax"/>
          <c:min val="45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r>
                  <a:rPr lang="en-US" sz="900" b="1" i="0" baseline="0">
                    <a:solidFill>
                      <a:sysClr val="windowText" lastClr="000000"/>
                    </a:solidFill>
                    <a:latin typeface="Times New Roman" panose="02020603050405020304" pitchFamily="18" charset="0"/>
                    <a:cs typeface="Times New Roman" panose="02020603050405020304" pitchFamily="18" charset="0"/>
                  </a:rPr>
                  <a:t>Cumulative TN Reductions (lbs/yr)</a:t>
                </a:r>
              </a:p>
            </c:rich>
          </c:tx>
          <c:overlay val="0"/>
          <c:spPr>
            <a:noFill/>
            <a:ln>
              <a:noFill/>
            </a:ln>
            <a:effectLst/>
          </c:spPr>
          <c:txPr>
            <a:bodyPr rot="-54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mn-cs"/>
              </a:defRPr>
            </a:pPr>
            <a:endParaRPr lang="en-US"/>
          </a:p>
        </c:txPr>
        <c:crossAx val="141337504"/>
        <c:crosses val="autoZero"/>
        <c:crossBetween val="midCat"/>
        <c:majorUnit val="5000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11</xdr:col>
      <xdr:colOff>600075</xdr:colOff>
      <xdr:row>0</xdr:row>
      <xdr:rowOff>19049</xdr:rowOff>
    </xdr:from>
    <xdr:to>
      <xdr:col>23</xdr:col>
      <xdr:colOff>600075</xdr:colOff>
      <xdr:row>21</xdr:row>
      <xdr:rowOff>47624</xdr:rowOff>
    </xdr:to>
    <xdr:graphicFrame macro="">
      <xdr:nvGraphicFramePr>
        <xdr:cNvPr id="11" name="Chart 10">
          <a:extLst>
            <a:ext uri="{FF2B5EF4-FFF2-40B4-BE49-F238E27FC236}">
              <a16:creationId xmlns:a16="http://schemas.microsoft.com/office/drawing/2014/main" id="{2D8CDB41-DD99-471C-98E2-09095FBB8C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FileServer%20Data\FDEP%20LSJR%20Main%20Stem%20BMAP\11%202018%20Progress%20Report%20Items\Received\CCUA\LSJM_CCUA%20Aggregate%20Revis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Rossiter_B/Desktop/STAR/2020%20STAR/CALO/Responses/City%20of%20Moore%20Haven/Moore%20Haven%20CALO%20Report%20For%202020_BR.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2021_1-15_MASTER_SFWMD%20and%20Coord%20Agency_Multi%20BMA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s"/>
      <sheetName val="Drop Downs"/>
      <sheetName val="Notes"/>
    </sheetNames>
    <sheetDataSet>
      <sheetData sheetId="0"/>
      <sheetData sheetId="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Wish List Projects"/>
      <sheetName val="DropDown"/>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opDowns"/>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Cathleen Foerster" id="{F0418094-9BC4-4810-9824-AF2F98367794}" userId="Cathleen Foerster" providerId="None"/>
  <person displayName="Christopher Caschera" id="{49118D26-0D5F-46A7-AE6E-8F0321FB1DEA}" userId="Christopher Caschera" providerId="None"/>
  <person displayName="Tina Gordon" id="{5069974F-5301-4CA4-A629-859D2146D330}" userId="S::tgordon@wildwoodconsulting.net::be8fcd1c-da0f-4d3c-a8dc-61ad129164ed" providerId="AD"/>
  <person displayName="Rossiter, Brianna" id="{2686C7DE-5EB3-48DD-9EC1-52D15048786C}" userId="S::Brianna.Rossiter@FloridaDEP.gov::9e768710-24cf-4954-b935-af41ef81625f"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ris Caschera" refreshedDate="43924.530153356478" createdVersion="6" refreshedVersion="6" minRefreshableVersion="3" recordCount="208" xr:uid="{A05A30D1-EED0-4745-B264-42ED4CDF3D4C}">
  <cacheSource type="worksheet">
    <worksheetSource ref="B1:B225" sheet="Caloosahatchee All Projects"/>
  </cacheSource>
  <cacheFields count="1">
    <cacheField name="ProjID" numFmtId="0">
      <sharedItems containsSemiMixedTypes="0" containsString="0" containsNumber="1" containsInteger="1" minValue="2238" maxValue="523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ina" refreshedDate="44270.468930787036" createdVersion="6" refreshedVersion="6" minRefreshableVersion="3" recordCount="256" xr:uid="{3F85CD10-B666-48ED-A3EF-FA72BDB1E70F}">
  <cacheSource type="worksheet">
    <worksheetSource ref="B1:AE1048576" sheet="Caloosahatchee All Projects"/>
  </cacheSource>
  <cacheFields count="30">
    <cacheField name="ProjID" numFmtId="0">
      <sharedItems containsString="0" containsBlank="1" containsNumber="1" containsInteger="1" minValue="2238" maxValue="5230"/>
    </cacheField>
    <cacheField name="LeadEntity" numFmtId="0">
      <sharedItems containsBlank="1" count="32">
        <s v="Barron WCD"/>
        <s v="Coordinating Agency"/>
        <s v="City of Cape Coral"/>
        <s v="Clewiston Drainage District"/>
        <s v="Charlotte County"/>
        <s v="County Line Drainage District"/>
        <s v="City of Clewiston"/>
        <s v="Collins Slough WCD"/>
        <s v="Cow Slough WCD"/>
        <s v="Hendry County"/>
        <s v="Devil's Garden WCD"/>
        <s v="Disston Island Conservancy District"/>
        <s v="FDACS"/>
        <s v="FDOT District 1"/>
        <s v="Flaghole Drainage District"/>
        <s v="City of Fort Myers"/>
        <s v="Glades County"/>
        <s v="Gerber Groves WCD"/>
        <s v="Hendry-Hilliard WCD"/>
        <s v="LA-MSID (formerly ECWCD)"/>
        <s v="Lee County"/>
        <s v="City of LaBelle"/>
        <s v="Lucaya CDD"/>
        <s v="City of Moore Haven"/>
        <s v="Portico CDD"/>
        <s v="Sugarland Drainage District"/>
        <s v="Verandah East CDD"/>
        <s v="Verandah West CDD"/>
        <s v="Mirada CDD"/>
        <s v="Port LaBelle CDD"/>
        <m/>
        <s v="Fake Entity 1" u="1"/>
      </sharedItems>
    </cacheField>
    <cacheField name="Partners" numFmtId="0">
      <sharedItems containsBlank="1"/>
    </cacheField>
    <cacheField name="ProjectNumber" numFmtId="0">
      <sharedItems containsBlank="1"/>
    </cacheField>
    <cacheField name="ProjectName" numFmtId="0">
      <sharedItems containsBlank="1"/>
    </cacheField>
    <cacheField name="ProjectDescription" numFmtId="0">
      <sharedItems containsBlank="1" longText="1"/>
    </cacheField>
    <cacheField name="ProjectType" numFmtId="0">
      <sharedItems containsBlank="1"/>
    </cacheField>
    <cacheField name="ProjectStatus" numFmtId="0">
      <sharedItems containsBlank="1" containsMixedTypes="1" containsNumber="1" containsInteger="1" minValue="2019" maxValue="2019" count="6">
        <s v="Planned"/>
        <s v="Completed"/>
        <s v="Ongoing"/>
        <s v="Underway"/>
        <m/>
        <n v="2019" u="1"/>
      </sharedItems>
    </cacheField>
    <cacheField name="EstimatedStartDate" numFmtId="0">
      <sharedItems containsBlank="1"/>
    </cacheField>
    <cacheField name="EstimatedCompletionDate" numFmtId="49">
      <sharedItems containsBlank="1"/>
    </cacheField>
    <cacheField name="TNReduction(lbs/yr)" numFmtId="3">
      <sharedItems containsBlank="1" containsMixedTypes="1" containsNumber="1" minValue="0" maxValue="178228"/>
    </cacheField>
    <cacheField name="TPReduction(lbs/yr)" numFmtId="3">
      <sharedItems containsBlank="1" containsMixedTypes="1" containsNumber="1" minValue="1.9789510702473478E-2" maxValue="10640.046788302505"/>
    </cacheField>
    <cacheField name="Location" numFmtId="0">
      <sharedItems containsBlank="1"/>
    </cacheField>
    <cacheField name="AcresTreated" numFmtId="0">
      <sharedItems containsBlank="1" containsMixedTypes="1" containsNumber="1" minValue="2" maxValue="180103.99406999999"/>
    </cacheField>
    <cacheField name="CostEstimate" numFmtId="0">
      <sharedItems containsBlank="1" containsMixedTypes="1" containsNumber="1" minValue="0" maxValue="853335773"/>
    </cacheField>
    <cacheField name="CostAnnualO&amp;M" numFmtId="0">
      <sharedItems containsBlank="1" containsMixedTypes="1" containsNumber="1" minValue="2000" maxValue="2200000"/>
    </cacheField>
    <cacheField name="FundingSource" numFmtId="0">
      <sharedItems containsBlank="1"/>
    </cacheField>
    <cacheField name="FundingAmount" numFmtId="49">
      <sharedItems containsBlank="1"/>
    </cacheField>
    <cacheField name="DEPContractAgreementNumber" numFmtId="0">
      <sharedItems containsBlank="1"/>
    </cacheField>
    <cacheField name="WMDContractAgreementNumber" numFmtId="0">
      <sharedItems containsBlank="1" containsMixedTypes="1" containsNumber="1" containsInteger="1" minValue="4600002716" maxValue="4600003525"/>
    </cacheField>
    <cacheField name="Latitude" numFmtId="0">
      <sharedItems containsBlank="1" containsMixedTypes="1" containsNumber="1" minValue="26.314312000000001" maxValue="27.789338999999998"/>
    </cacheField>
    <cacheField name="Longitude" numFmtId="0">
      <sharedItems containsBlank="1" containsMixedTypes="1" containsNumber="1" minValue="-81.958070000000006" maxValue="-80.927722222222229"/>
    </cacheField>
    <cacheField name="Proposed5YearFundingPlan" numFmtId="0">
      <sharedItems containsBlank="1"/>
    </cacheField>
    <cacheField name="GISShapefile" numFmtId="0">
      <sharedItems containsBlank="1"/>
    </cacheField>
    <cacheField name="Structural, Non-structural, or Trade" numFmtId="0">
      <sharedItems containsBlank="1"/>
    </cacheField>
    <cacheField name="Original Project Status" numFmtId="0">
      <sharedItems containsBlank="1"/>
    </cacheField>
    <cacheField name="Year Added" numFmtId="0">
      <sharedItems containsString="0" containsBlank="1" containsNumber="1" containsInteger="1" minValue="2012" maxValue="2020"/>
    </cacheField>
    <cacheField name="TN Reduction (kg/yr)" numFmtId="0">
      <sharedItems containsBlank="1" containsMixedTypes="1" containsNumber="1" minValue="0" maxValue="18130.525831999999"/>
    </cacheField>
    <cacheField name="TP Reduction (kg/yr)" numFmtId="0">
      <sharedItems containsBlank="1"/>
    </cacheField>
    <cacheField name="2019 STAR Priority Projects (1-5)" numFmtId="0">
      <sharedItems containsString="0" containsBlank="1" containsNumber="1" containsInteger="1" minValue="1" maxValue="5"/>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ina" refreshedDate="44270.469057754628" createdVersion="6" refreshedVersion="6" minRefreshableVersion="3" recordCount="256" xr:uid="{2993AC7A-0D2A-41F2-9D76-BF49DBF951D9}">
  <cacheSource type="worksheet">
    <worksheetSource ref="B1:AD1048576" sheet="Caloosahatchee All Projects"/>
  </cacheSource>
  <cacheFields count="29">
    <cacheField name="ProjID" numFmtId="0">
      <sharedItems containsString="0" containsBlank="1" containsNumber="1" containsInteger="1" minValue="2238" maxValue="5230"/>
    </cacheField>
    <cacheField name="LeadEntity" numFmtId="0">
      <sharedItems containsBlank="1"/>
    </cacheField>
    <cacheField name="Partners" numFmtId="0">
      <sharedItems containsBlank="1"/>
    </cacheField>
    <cacheField name="ProjectNumber" numFmtId="0">
      <sharedItems containsBlank="1"/>
    </cacheField>
    <cacheField name="ProjectName" numFmtId="0">
      <sharedItems containsBlank="1"/>
    </cacheField>
    <cacheField name="ProjectDescription" numFmtId="0">
      <sharedItems containsBlank="1" longText="1"/>
    </cacheField>
    <cacheField name="ProjectType" numFmtId="0">
      <sharedItems containsBlank="1"/>
    </cacheField>
    <cacheField name="ProjectStatus" numFmtId="0">
      <sharedItems containsBlank="1" containsMixedTypes="1" containsNumber="1" containsInteger="1" minValue="2019" maxValue="2019" count="6">
        <s v="Planned"/>
        <s v="Completed"/>
        <s v="Ongoing"/>
        <s v="Underway"/>
        <m/>
        <n v="2019" u="1"/>
      </sharedItems>
    </cacheField>
    <cacheField name="EstimatedStartDate" numFmtId="0">
      <sharedItems containsBlank="1"/>
    </cacheField>
    <cacheField name="EstimatedCompletionDate" numFmtId="49">
      <sharedItems containsBlank="1"/>
    </cacheField>
    <cacheField name="TNReduction(lbs/yr)" numFmtId="3">
      <sharedItems containsBlank="1" containsMixedTypes="1" containsNumber="1" minValue="0" maxValue="178228"/>
    </cacheField>
    <cacheField name="TPReduction(lbs/yr)" numFmtId="3">
      <sharedItems containsBlank="1" containsMixedTypes="1" containsNumber="1" minValue="1.9789510702473478E-2" maxValue="10640.046788302505"/>
    </cacheField>
    <cacheField name="Location" numFmtId="0">
      <sharedItems containsBlank="1"/>
    </cacheField>
    <cacheField name="AcresTreated" numFmtId="0">
      <sharedItems containsBlank="1" containsMixedTypes="1" containsNumber="1" minValue="2" maxValue="180103.99406999999"/>
    </cacheField>
    <cacheField name="CostEstimate" numFmtId="0">
      <sharedItems containsBlank="1" containsMixedTypes="1" containsNumber="1" minValue="0" maxValue="853335773"/>
    </cacheField>
    <cacheField name="CostAnnualO&amp;M" numFmtId="0">
      <sharedItems containsBlank="1" containsMixedTypes="1" containsNumber="1" minValue="2000" maxValue="2200000"/>
    </cacheField>
    <cacheField name="FundingSource" numFmtId="0">
      <sharedItems containsBlank="1"/>
    </cacheField>
    <cacheField name="FundingAmount" numFmtId="49">
      <sharedItems containsBlank="1"/>
    </cacheField>
    <cacheField name="DEPContractAgreementNumber" numFmtId="0">
      <sharedItems containsBlank="1"/>
    </cacheField>
    <cacheField name="WMDContractAgreementNumber" numFmtId="0">
      <sharedItems containsBlank="1" containsMixedTypes="1" containsNumber="1" containsInteger="1" minValue="4600002716" maxValue="4600003525"/>
    </cacheField>
    <cacheField name="Latitude" numFmtId="0">
      <sharedItems containsBlank="1" containsMixedTypes="1" containsNumber="1" minValue="26.314312000000001" maxValue="27.789338999999998"/>
    </cacheField>
    <cacheField name="Longitude" numFmtId="0">
      <sharedItems containsBlank="1" containsMixedTypes="1" containsNumber="1" minValue="-81.958070000000006" maxValue="-80.927722222222229"/>
    </cacheField>
    <cacheField name="Proposed5YearFundingPlan" numFmtId="0">
      <sharedItems containsBlank="1"/>
    </cacheField>
    <cacheField name="GISShapefile" numFmtId="0">
      <sharedItems containsBlank="1"/>
    </cacheField>
    <cacheField name="Structural, Non-structural, or Trade" numFmtId="0">
      <sharedItems containsBlank="1"/>
    </cacheField>
    <cacheField name="Original Project Status" numFmtId="0">
      <sharedItems containsBlank="1"/>
    </cacheField>
    <cacheField name="Year Added" numFmtId="0">
      <sharedItems containsString="0" containsBlank="1" containsNumber="1" containsInteger="1" minValue="2012" maxValue="2020"/>
    </cacheField>
    <cacheField name="TN Reduction (kg/yr)" numFmtId="0">
      <sharedItems containsBlank="1" containsMixedTypes="1" containsNumber="1" minValue="0" maxValue="18130.525831999999"/>
    </cacheField>
    <cacheField name="TP Reduction (kg/yr)" numFmtId="0">
      <sharedItems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ina" refreshedDate="44270.469085069446" createdVersion="6" refreshedVersion="6" minRefreshableVersion="3" recordCount="256" xr:uid="{B9FA494E-4445-4644-82E4-5542EF3F9CA1}">
  <cacheSource type="worksheet">
    <worksheetSource ref="A1:AD1048576" sheet="Caloosahatchee All Projects"/>
  </cacheSource>
  <cacheFields count="30">
    <cacheField name="BMAPID" numFmtId="0">
      <sharedItems containsBlank="1"/>
    </cacheField>
    <cacheField name="ProjID" numFmtId="0">
      <sharedItems containsString="0" containsBlank="1" containsNumber="1" containsInteger="1" minValue="2238" maxValue="5230"/>
    </cacheField>
    <cacheField name="LeadEntity" numFmtId="0">
      <sharedItems containsBlank="1"/>
    </cacheField>
    <cacheField name="Partners" numFmtId="0">
      <sharedItems containsBlank="1"/>
    </cacheField>
    <cacheField name="ProjectNumber" numFmtId="0">
      <sharedItems containsBlank="1"/>
    </cacheField>
    <cacheField name="ProjectName" numFmtId="0">
      <sharedItems containsBlank="1"/>
    </cacheField>
    <cacheField name="ProjectDescription" numFmtId="0">
      <sharedItems containsBlank="1" longText="1"/>
    </cacheField>
    <cacheField name="ProjectType" numFmtId="0">
      <sharedItems containsBlank="1"/>
    </cacheField>
    <cacheField name="ProjectStatus" numFmtId="0">
      <sharedItems containsBlank="1" count="5">
        <s v="Planned"/>
        <s v="Completed"/>
        <s v="Ongoing"/>
        <s v="Underway"/>
        <m/>
      </sharedItems>
    </cacheField>
    <cacheField name="EstimatedStartDate" numFmtId="0">
      <sharedItems containsBlank="1"/>
    </cacheField>
    <cacheField name="EstimatedCompletionDate" numFmtId="49">
      <sharedItems containsBlank="1" count="21">
        <s v="N/A"/>
        <s v="2020"/>
        <s v="2023"/>
        <s v="2019"/>
        <s v="2025"/>
        <s v="2024"/>
        <s v="2014"/>
        <s v="Prior to 2012"/>
        <s v="2015"/>
        <s v="2018"/>
        <s v="TBD"/>
        <s v="2022"/>
        <s v="2005"/>
        <s v="2017"/>
        <s v="2013"/>
        <s v="2016"/>
        <s v="2021"/>
        <s v="2012"/>
        <s v="2007"/>
        <s v="2031"/>
        <m/>
      </sharedItems>
    </cacheField>
    <cacheField name="TNReduction(lbs/yr)" numFmtId="3">
      <sharedItems containsBlank="1" containsMixedTypes="1" containsNumber="1" minValue="0" maxValue="178228"/>
    </cacheField>
    <cacheField name="TPReduction(lbs/yr)" numFmtId="3">
      <sharedItems containsBlank="1" containsMixedTypes="1" containsNumber="1" minValue="1.9789510702473478E-2" maxValue="10640.046788302505"/>
    </cacheField>
    <cacheField name="Location" numFmtId="0">
      <sharedItems containsBlank="1"/>
    </cacheField>
    <cacheField name="AcresTreated" numFmtId="0">
      <sharedItems containsBlank="1" containsMixedTypes="1" containsNumber="1" minValue="2" maxValue="180103.99406999999"/>
    </cacheField>
    <cacheField name="CostEstimate" numFmtId="0">
      <sharedItems containsBlank="1" containsMixedTypes="1" containsNumber="1" minValue="0" maxValue="853335773"/>
    </cacheField>
    <cacheField name="CostAnnualO&amp;M" numFmtId="0">
      <sharedItems containsBlank="1" containsMixedTypes="1" containsNumber="1" minValue="2000" maxValue="2200000"/>
    </cacheField>
    <cacheField name="FundingSource" numFmtId="0">
      <sharedItems containsBlank="1"/>
    </cacheField>
    <cacheField name="FundingAmount" numFmtId="49">
      <sharedItems containsBlank="1"/>
    </cacheField>
    <cacheField name="DEPContractAgreementNumber" numFmtId="0">
      <sharedItems containsBlank="1"/>
    </cacheField>
    <cacheField name="WMDContractAgreementNumber" numFmtId="0">
      <sharedItems containsBlank="1" containsMixedTypes="1" containsNumber="1" containsInteger="1" minValue="4600002716" maxValue="4600003525"/>
    </cacheField>
    <cacheField name="Latitude" numFmtId="0">
      <sharedItems containsBlank="1" containsMixedTypes="1" containsNumber="1" minValue="26.314312000000001" maxValue="27.789338999999998"/>
    </cacheField>
    <cacheField name="Longitude" numFmtId="0">
      <sharedItems containsBlank="1" containsMixedTypes="1" containsNumber="1" minValue="-81.958070000000006" maxValue="-80.927722222222229"/>
    </cacheField>
    <cacheField name="Proposed5YearFundingPlan" numFmtId="0">
      <sharedItems containsBlank="1"/>
    </cacheField>
    <cacheField name="GISShapefile" numFmtId="0">
      <sharedItems containsBlank="1"/>
    </cacheField>
    <cacheField name="Structural, Non-structural, or Trade" numFmtId="0">
      <sharedItems containsBlank="1"/>
    </cacheField>
    <cacheField name="Original Project Status" numFmtId="0">
      <sharedItems containsBlank="1"/>
    </cacheField>
    <cacheField name="Year Added" numFmtId="0">
      <sharedItems containsString="0" containsBlank="1" containsNumber="1" containsInteger="1" minValue="2012" maxValue="2020" count="9">
        <n v="2019"/>
        <n v="2012"/>
        <n v="2014"/>
        <n v="2015"/>
        <n v="2016"/>
        <n v="2018"/>
        <n v="2020"/>
        <n v="2017"/>
        <m/>
      </sharedItems>
    </cacheField>
    <cacheField name="TN Reduction (kg/yr)" numFmtId="0">
      <sharedItems containsBlank="1" containsMixedTypes="1" containsNumber="1" minValue="0" maxValue="18130.525831999999"/>
    </cacheField>
    <cacheField name="TP Reduction (kg/yr)" numFmtId="0">
      <sharedItems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ossiter, Brianna" refreshedDate="44309.54270740741" createdVersion="6" refreshedVersion="6" minRefreshableVersion="3" recordCount="256" xr:uid="{9E98FE3E-8D34-4A28-8CE6-D7610FA130AC}">
  <cacheSource type="worksheet">
    <worksheetSource ref="A1:AE1048576" sheet="Caloosahatchee All Projects"/>
  </cacheSource>
  <cacheFields count="31">
    <cacheField name="BMAPID" numFmtId="0">
      <sharedItems containsBlank="1"/>
    </cacheField>
    <cacheField name="ProjID" numFmtId="0">
      <sharedItems containsString="0" containsBlank="1" containsNumber="1" containsInteger="1" minValue="2238" maxValue="5756"/>
    </cacheField>
    <cacheField name="LeadEntity" numFmtId="0">
      <sharedItems containsBlank="1" count="31">
        <s v="Barron WCD"/>
        <s v="Coordinating Agency"/>
        <s v="City of Cape Coral"/>
        <s v="Clewiston Drainage District"/>
        <s v="Charlotte County"/>
        <s v="County Line Drainage District"/>
        <s v="City of Clewiston"/>
        <s v="Collins Slough WCD"/>
        <s v="Cow Slough WCD"/>
        <s v="Hendry County"/>
        <s v="Devil's Garden WCD"/>
        <s v="Disston Island Conservancy District"/>
        <s v="FDACS"/>
        <s v="FDOT District 1"/>
        <s v="Flaghole Drainage District"/>
        <s v="City of Fort Myers"/>
        <s v="Glades County"/>
        <s v="Gerber Groves WCD"/>
        <s v="Hendry-Hilliard WCD"/>
        <s v="LA-MSID (formerly ECWCD)"/>
        <s v="Lee County"/>
        <s v="City of LaBelle"/>
        <s v="Lucaya CDD"/>
        <s v="City of Moore Haven"/>
        <s v="Portico CDD"/>
        <s v="Sugarland Drainage District"/>
        <s v="Verandah East CDD"/>
        <s v="Verandah West CDD"/>
        <s v="Mirada CDD"/>
        <s v="Port LaBelle CDD"/>
        <m/>
      </sharedItems>
    </cacheField>
    <cacheField name="Partners" numFmtId="0">
      <sharedItems containsBlank="1"/>
    </cacheField>
    <cacheField name="ProjectNumber" numFmtId="0">
      <sharedItems containsBlank="1"/>
    </cacheField>
    <cacheField name="ProjectName" numFmtId="0">
      <sharedItems containsBlank="1"/>
    </cacheField>
    <cacheField name="ProjectDescription" numFmtId="0">
      <sharedItems containsBlank="1" longText="1"/>
    </cacheField>
    <cacheField name="ProjectType" numFmtId="0">
      <sharedItems containsBlank="1"/>
    </cacheField>
    <cacheField name="ProjectStatus" numFmtId="0">
      <sharedItems containsBlank="1" count="5">
        <s v="Planned"/>
        <s v="Completed"/>
        <s v="Ongoing"/>
        <s v="Underway"/>
        <m/>
      </sharedItems>
    </cacheField>
    <cacheField name="EstimatedStartDate" numFmtId="0">
      <sharedItems containsBlank="1"/>
    </cacheField>
    <cacheField name="EstimatedCompletionDate" numFmtId="49">
      <sharedItems containsBlank="1"/>
    </cacheField>
    <cacheField name="TNReduction(lbs/yr)" numFmtId="3">
      <sharedItems containsBlank="1" containsMixedTypes="1" containsNumber="1" minValue="0" maxValue="178228"/>
    </cacheField>
    <cacheField name="TPReduction(lbs/yr)" numFmtId="3">
      <sharedItems containsBlank="1" containsMixedTypes="1" containsNumber="1" minValue="1.9789510702473478E-2" maxValue="10640.046788302505"/>
    </cacheField>
    <cacheField name="Location" numFmtId="0">
      <sharedItems containsBlank="1"/>
    </cacheField>
    <cacheField name="AcresTreated" numFmtId="0">
      <sharedItems containsBlank="1" containsMixedTypes="1" containsNumber="1" minValue="2" maxValue="180103.99406999999"/>
    </cacheField>
    <cacheField name="CostEstimate" numFmtId="0">
      <sharedItems containsBlank="1" containsMixedTypes="1" containsNumber="1" minValue="0" maxValue="853335773"/>
    </cacheField>
    <cacheField name="CostAnnualO&amp;M" numFmtId="0">
      <sharedItems containsBlank="1" containsMixedTypes="1" containsNumber="1" minValue="2000" maxValue="2200000"/>
    </cacheField>
    <cacheField name="FundingSource" numFmtId="0">
      <sharedItems containsBlank="1"/>
    </cacheField>
    <cacheField name="FundingAmount" numFmtId="49">
      <sharedItems containsBlank="1"/>
    </cacheField>
    <cacheField name="DEPContractAgreementNumber" numFmtId="0">
      <sharedItems containsBlank="1"/>
    </cacheField>
    <cacheField name="WMDContractAgreementNumber" numFmtId="0">
      <sharedItems containsBlank="1" containsMixedTypes="1" containsNumber="1" containsInteger="1" minValue="4600002716" maxValue="4600003525"/>
    </cacheField>
    <cacheField name="Latitude" numFmtId="0">
      <sharedItems containsBlank="1"/>
    </cacheField>
    <cacheField name="Longitude" numFmtId="0">
      <sharedItems containsBlank="1"/>
    </cacheField>
    <cacheField name="Proposed5YearFundingPlan" numFmtId="0">
      <sharedItems containsBlank="1"/>
    </cacheField>
    <cacheField name="GISShapefile" numFmtId="0">
      <sharedItems containsBlank="1"/>
    </cacheField>
    <cacheField name="Structural, Non-structural, or Trade" numFmtId="0">
      <sharedItems containsBlank="1"/>
    </cacheField>
    <cacheField name="Original Project Status" numFmtId="0">
      <sharedItems containsBlank="1"/>
    </cacheField>
    <cacheField name="Year Added" numFmtId="0">
      <sharedItems containsString="0" containsBlank="1" containsNumber="1" containsInteger="1" minValue="2012" maxValue="2020"/>
    </cacheField>
    <cacheField name="TN Reduction (kg/yr)" numFmtId="0">
      <sharedItems containsBlank="1" containsMixedTypes="1" containsNumber="1" minValue="0" maxValue="18130.525831999999"/>
    </cacheField>
    <cacheField name="TP Reduction (kg/yr)" numFmtId="0">
      <sharedItems containsBlank="1"/>
    </cacheField>
    <cacheField name="2019 STAR Priority Projects (1-5)" numFmtId="0">
      <sharedItems containsString="0" containsBlank="1" containsNumber="1" containsInteger="1" minValue="1" maxValue="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8">
  <r>
    <n v="5160"/>
  </r>
  <r>
    <n v="5161"/>
  </r>
  <r>
    <n v="5162"/>
  </r>
  <r>
    <n v="5163"/>
  </r>
  <r>
    <n v="5164"/>
  </r>
  <r>
    <n v="5165"/>
  </r>
  <r>
    <n v="5166"/>
  </r>
  <r>
    <n v="5167"/>
  </r>
  <r>
    <n v="5168"/>
  </r>
  <r>
    <n v="5169"/>
  </r>
  <r>
    <n v="5170"/>
  </r>
  <r>
    <n v="5171"/>
  </r>
  <r>
    <n v="2318"/>
  </r>
  <r>
    <n v="2329"/>
  </r>
  <r>
    <n v="2327"/>
  </r>
  <r>
    <n v="2339"/>
  </r>
  <r>
    <n v="2304"/>
  </r>
  <r>
    <n v="2328"/>
  </r>
  <r>
    <n v="2296"/>
  </r>
  <r>
    <n v="2297"/>
  </r>
  <r>
    <n v="2298"/>
  </r>
  <r>
    <n v="2361"/>
  </r>
  <r>
    <n v="2299"/>
  </r>
  <r>
    <n v="2330"/>
  </r>
  <r>
    <n v="2300"/>
  </r>
  <r>
    <n v="2301"/>
  </r>
  <r>
    <n v="2302"/>
  </r>
  <r>
    <n v="2332"/>
  </r>
  <r>
    <n v="4365"/>
  </r>
  <r>
    <n v="4366"/>
  </r>
  <r>
    <n v="4840"/>
  </r>
  <r>
    <n v="5172"/>
  </r>
  <r>
    <n v="5173"/>
  </r>
  <r>
    <n v="5174"/>
  </r>
  <r>
    <n v="5175"/>
  </r>
  <r>
    <n v="5176"/>
  </r>
  <r>
    <n v="2331"/>
  </r>
  <r>
    <n v="5177"/>
  </r>
  <r>
    <n v="5178"/>
  </r>
  <r>
    <n v="5179"/>
  </r>
  <r>
    <n v="5180"/>
  </r>
  <r>
    <n v="5181"/>
  </r>
  <r>
    <n v="5182"/>
  </r>
  <r>
    <n v="5183"/>
  </r>
  <r>
    <n v="5184"/>
  </r>
  <r>
    <n v="5185"/>
  </r>
  <r>
    <n v="5186"/>
  </r>
  <r>
    <n v="5187"/>
  </r>
  <r>
    <n v="5188"/>
  </r>
  <r>
    <n v="5189"/>
  </r>
  <r>
    <n v="5190"/>
  </r>
  <r>
    <n v="5191"/>
  </r>
  <r>
    <n v="4841"/>
  </r>
  <r>
    <n v="4842"/>
  </r>
  <r>
    <n v="4843"/>
  </r>
  <r>
    <n v="5192"/>
  </r>
  <r>
    <n v="5193"/>
  </r>
  <r>
    <n v="5194"/>
  </r>
  <r>
    <n v="5195"/>
  </r>
  <r>
    <n v="5196"/>
  </r>
  <r>
    <n v="5197"/>
  </r>
  <r>
    <n v="5198"/>
  </r>
  <r>
    <n v="5199"/>
  </r>
  <r>
    <n v="5200"/>
  </r>
  <r>
    <n v="5201"/>
  </r>
  <r>
    <n v="2345"/>
  </r>
  <r>
    <n v="4844"/>
  </r>
  <r>
    <n v="4845"/>
  </r>
  <r>
    <n v="4846"/>
  </r>
  <r>
    <n v="4847"/>
  </r>
  <r>
    <n v="4848"/>
  </r>
  <r>
    <n v="2386"/>
  </r>
  <r>
    <n v="2384"/>
  </r>
  <r>
    <n v="2343"/>
  </r>
  <r>
    <n v="2364"/>
  </r>
  <r>
    <n v="2362"/>
  </r>
  <r>
    <n v="2360"/>
  </r>
  <r>
    <n v="2358"/>
  </r>
  <r>
    <n v="2280"/>
  </r>
  <r>
    <n v="2281"/>
  </r>
  <r>
    <n v="2303"/>
  </r>
  <r>
    <n v="2317"/>
  </r>
  <r>
    <n v="2305"/>
  </r>
  <r>
    <n v="2294"/>
  </r>
  <r>
    <n v="2307"/>
  </r>
  <r>
    <n v="2308"/>
  </r>
  <r>
    <n v="2309"/>
  </r>
  <r>
    <n v="2310"/>
  </r>
  <r>
    <n v="2311"/>
  </r>
  <r>
    <n v="2312"/>
  </r>
  <r>
    <n v="2313"/>
  </r>
  <r>
    <n v="2314"/>
  </r>
  <r>
    <n v="2315"/>
  </r>
  <r>
    <n v="2316"/>
  </r>
  <r>
    <n v="2295"/>
  </r>
  <r>
    <n v="2359"/>
  </r>
  <r>
    <n v="4367"/>
  </r>
  <r>
    <n v="4368"/>
  </r>
  <r>
    <n v="4849"/>
  </r>
  <r>
    <n v="4850"/>
  </r>
  <r>
    <n v="4851"/>
  </r>
  <r>
    <n v="5202"/>
  </r>
  <r>
    <n v="5203"/>
  </r>
  <r>
    <n v="5204"/>
  </r>
  <r>
    <n v="5205"/>
  </r>
  <r>
    <n v="5206"/>
  </r>
  <r>
    <n v="5207"/>
  </r>
  <r>
    <n v="2367"/>
  </r>
  <r>
    <n v="2368"/>
  </r>
  <r>
    <n v="2369"/>
  </r>
  <r>
    <n v="2370"/>
  </r>
  <r>
    <n v="2371"/>
  </r>
  <r>
    <n v="2372"/>
  </r>
  <r>
    <n v="2373"/>
  </r>
  <r>
    <n v="2374"/>
  </r>
  <r>
    <n v="2375"/>
  </r>
  <r>
    <n v="2376"/>
  </r>
  <r>
    <n v="2388"/>
  </r>
  <r>
    <n v="2378"/>
  </r>
  <r>
    <n v="2366"/>
  </r>
  <r>
    <n v="2379"/>
  </r>
  <r>
    <n v="2380"/>
  </r>
  <r>
    <n v="2381"/>
  </r>
  <r>
    <n v="4852"/>
  </r>
  <r>
    <n v="4853"/>
  </r>
  <r>
    <n v="4854"/>
  </r>
  <r>
    <n v="5208"/>
  </r>
  <r>
    <n v="5209"/>
  </r>
  <r>
    <n v="5210"/>
  </r>
  <r>
    <n v="5211"/>
  </r>
  <r>
    <n v="5212"/>
  </r>
  <r>
    <n v="5213"/>
  </r>
  <r>
    <n v="5214"/>
  </r>
  <r>
    <n v="5215"/>
  </r>
  <r>
    <n v="5216"/>
  </r>
  <r>
    <n v="5217"/>
  </r>
  <r>
    <n v="2382"/>
  </r>
  <r>
    <n v="2383"/>
  </r>
  <r>
    <n v="2385"/>
  </r>
  <r>
    <n v="2387"/>
  </r>
  <r>
    <n v="2354"/>
  </r>
  <r>
    <n v="2352"/>
  </r>
  <r>
    <n v="2377"/>
  </r>
  <r>
    <n v="2344"/>
  </r>
  <r>
    <n v="2363"/>
  </r>
  <r>
    <n v="2348"/>
  </r>
  <r>
    <n v="2347"/>
  </r>
  <r>
    <n v="2346"/>
  </r>
  <r>
    <n v="2282"/>
  </r>
  <r>
    <n v="2293"/>
  </r>
  <r>
    <n v="2284"/>
  </r>
  <r>
    <n v="2275"/>
  </r>
  <r>
    <n v="2286"/>
  </r>
  <r>
    <n v="2287"/>
  </r>
  <r>
    <n v="2264"/>
  </r>
  <r>
    <n v="2288"/>
  </r>
  <r>
    <n v="2252"/>
  </r>
  <r>
    <n v="2290"/>
  </r>
  <r>
    <n v="2291"/>
  </r>
  <r>
    <n v="2283"/>
  </r>
  <r>
    <n v="2258"/>
  </r>
  <r>
    <n v="2268"/>
  </r>
  <r>
    <n v="2272"/>
  </r>
  <r>
    <n v="2273"/>
  </r>
  <r>
    <n v="2289"/>
  </r>
  <r>
    <n v="2271"/>
  </r>
  <r>
    <n v="2270"/>
  </r>
  <r>
    <n v="2269"/>
  </r>
  <r>
    <n v="2259"/>
  </r>
  <r>
    <n v="2260"/>
  </r>
  <r>
    <n v="2261"/>
  </r>
  <r>
    <n v="2262"/>
  </r>
  <r>
    <n v="2263"/>
  </r>
  <r>
    <n v="2274"/>
  </r>
  <r>
    <n v="2265"/>
  </r>
  <r>
    <n v="2257"/>
  </r>
  <r>
    <n v="2267"/>
  </r>
  <r>
    <n v="2357"/>
  </r>
  <r>
    <n v="2356"/>
  </r>
  <r>
    <n v="2239"/>
  </r>
  <r>
    <n v="2238"/>
  </r>
  <r>
    <n v="2243"/>
  </r>
  <r>
    <n v="2255"/>
  </r>
  <r>
    <n v="2292"/>
  </r>
  <r>
    <n v="2285"/>
  </r>
  <r>
    <n v="2276"/>
  </r>
  <r>
    <n v="2340"/>
  </r>
  <r>
    <n v="2277"/>
  </r>
  <r>
    <n v="4369"/>
  </r>
  <r>
    <n v="4370"/>
  </r>
  <r>
    <n v="4855"/>
  </r>
  <r>
    <n v="4856"/>
  </r>
  <r>
    <n v="4857"/>
  </r>
  <r>
    <n v="2278"/>
  </r>
  <r>
    <n v="2279"/>
  </r>
  <r>
    <n v="5218"/>
  </r>
  <r>
    <n v="5219"/>
  </r>
  <r>
    <n v="5220"/>
  </r>
  <r>
    <n v="5221"/>
  </r>
  <r>
    <n v="5222"/>
  </r>
  <r>
    <n v="5223"/>
  </r>
  <r>
    <n v="5224"/>
  </r>
  <r>
    <n v="5225"/>
  </r>
  <r>
    <n v="5226"/>
  </r>
  <r>
    <n v="5227"/>
  </r>
  <r>
    <n v="5228"/>
  </r>
  <r>
    <n v="5229"/>
  </r>
  <r>
    <n v="523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6">
  <r>
    <n v="5160"/>
    <x v="0"/>
    <s v="DEP/ FDACS"/>
    <s v="BD-01"/>
    <s v="Public Education and Outreach"/>
    <s v="Updates on BMAP and requirements during annual landowner meetings."/>
    <s v="Education Efforts"/>
    <x v="0"/>
    <s v="2019"/>
    <s v="N/A"/>
    <s v="N/A"/>
    <s v="N/A"/>
    <s v="East Caloosahatchee"/>
    <s v="N/A"/>
    <s v="Not provided"/>
    <s v="TBD"/>
    <s v="Barron WCD"/>
    <s v="N/A"/>
    <s v="N/A"/>
    <s v="N/A"/>
    <n v="26.75713889"/>
    <n v="-81.386111110000002"/>
    <s v="N/A"/>
    <m/>
    <s v="Non-structural"/>
    <m/>
    <n v="2019"/>
    <s v="N/A"/>
    <s v="N/A"/>
    <m/>
  </r>
  <r>
    <n v="5161"/>
    <x v="0"/>
    <s v="FDACS"/>
    <s v="BD-02"/>
    <s v="FDACS BMP Assistance"/>
    <s v="Provide assistance to FDACS, as needed, to encourage landowners to enroll in BMPs."/>
    <s v="Agricultural BMPs"/>
    <x v="0"/>
    <s v="2019"/>
    <s v="N/A"/>
    <s v="N/A"/>
    <s v="N/A"/>
    <s v="East Caloosahatchee"/>
    <s v="N/A"/>
    <s v="Not provided"/>
    <s v="TBD"/>
    <s v="Barron WCD"/>
    <s v="N/A"/>
    <s v="N/A"/>
    <s v="N/A"/>
    <n v="26.7515"/>
    <n v="-81.275000000000006"/>
    <s v="N/A"/>
    <m/>
    <s v="Non-structural"/>
    <m/>
    <n v="2019"/>
    <s v="N/A"/>
    <s v="N/A"/>
    <m/>
  </r>
  <r>
    <n v="5162"/>
    <x v="0"/>
    <s v="N/A"/>
    <s v="BD-03"/>
    <s v="Nutrient Controls"/>
    <s v="No application of fertilizer in district's rights-of-way."/>
    <s v="Fertilizer Cessation"/>
    <x v="1"/>
    <s v="2020"/>
    <s v="2020"/>
    <s v="N/A"/>
    <s v="N/A"/>
    <s v="East Caloosahatchee"/>
    <s v="N/A"/>
    <s v="TBD"/>
    <s v="TBD"/>
    <s v="Barron WCD"/>
    <s v="N/A"/>
    <s v="N/A"/>
    <s v="N/A"/>
    <n v="26.7515"/>
    <n v="-81.275000000000006"/>
    <s v="N/A"/>
    <m/>
    <s v="Non-structural"/>
    <m/>
    <n v="2019"/>
    <s v="N/A"/>
    <s v="N/A"/>
    <m/>
  </r>
  <r>
    <n v="5163"/>
    <x v="0"/>
    <s v="N/A"/>
    <s v="BD-04"/>
    <s v="Canal/Ditch Bank Berms"/>
    <s v="Minimize sediment transport by constructing berms on top of canal/ditch banks and promoting vegetation cover."/>
    <s v="Shoreline Stabilization"/>
    <x v="0"/>
    <s v="2020"/>
    <s v="N/A"/>
    <s v="N/A"/>
    <s v="N/A"/>
    <s v="East Caloosahatchee"/>
    <s v="N/A"/>
    <s v="TBD"/>
    <s v="TBD"/>
    <s v="Barron WCD"/>
    <s v="N/A"/>
    <s v="N/A"/>
    <s v="N/A"/>
    <n v="26.7515"/>
    <n v="-81.275000000000006"/>
    <s v="N/A"/>
    <m/>
    <s v="Structural"/>
    <m/>
    <n v="2019"/>
    <s v="N/A"/>
    <s v="N/A"/>
    <m/>
  </r>
  <r>
    <n v="5164"/>
    <x v="0"/>
    <s v="N/A"/>
    <s v="BD-05"/>
    <s v="Control Structures"/>
    <s v="Annual maintenance of water control structures."/>
    <s v="Control Structure"/>
    <x v="2"/>
    <s v="2021"/>
    <s v="N/A"/>
    <s v="N/A"/>
    <s v="N/A"/>
    <s v="East Caloosahatchee"/>
    <s v="N/A"/>
    <s v="TBD"/>
    <s v="TBD"/>
    <s v="Barron WCD"/>
    <s v="N/A"/>
    <s v="N/A"/>
    <s v="N/A"/>
    <n v="26.7515"/>
    <n v="-81.275000000000006"/>
    <s v="N/A"/>
    <m/>
    <s v="Structural"/>
    <m/>
    <n v="2019"/>
    <s v="N/A"/>
    <s v="N/A"/>
    <m/>
  </r>
  <r>
    <n v="5165"/>
    <x v="1"/>
    <s v="N/A"/>
    <s v="CA-01"/>
    <s v="C-43 West Basin Storage Reservoir"/>
    <s v="Storage of 170,000 acre-feet of stormwater runoff and releases from Lake Okeechobee. It will reduce volume of lake discharges in wet season and provide freshwater flow to the estuary in dry season to aid in essential flows for more stable salinities."/>
    <s v="Hydrologic Restoration"/>
    <x v="3"/>
    <s v="2015"/>
    <s v="2023"/>
    <s v="N/A"/>
    <s v="N/A"/>
    <s v="West Caloosahatchee"/>
    <n v="10700"/>
    <n v="853335773"/>
    <n v="2200000"/>
    <s v="USACE/ SFWMD/ Florida Legislature"/>
    <s v="USACE - $38,846,743/ SFWMD - $6,226,922/ Florida Legislature - $396,824,679"/>
    <s v="N/A"/>
    <s v="N/A"/>
    <n v="26.78637063"/>
    <n v="-81.288741049999999"/>
    <s v="N/A"/>
    <s v="Y"/>
    <s v="Structural"/>
    <m/>
    <n v="2019"/>
    <s v="Not provided"/>
    <s v="Not provided"/>
    <m/>
  </r>
  <r>
    <n v="5166"/>
    <x v="1"/>
    <s v="N/A"/>
    <s v="CA-02"/>
    <s v="Lake Hicpochee Storage and Shallow Hydrologic Enhancement, Phase 1"/>
    <s v="Provide shallow water storage, rehydrate a portion of lake bed to promote habitat restoration storage, and increase capacity for ancillary water quality benefit. Project will deliver excess stormwater runoff from C-19 canal to north end of lake as needed."/>
    <s v="Hydrologic Restoration"/>
    <x v="1"/>
    <s v="2017"/>
    <s v="2019"/>
    <s v="N/A"/>
    <s v="N/A"/>
    <s v="East Caloosahatchee"/>
    <n v="670"/>
    <n v="17300590"/>
    <n v="114588"/>
    <s v="SFWMD/ Florida Legislature"/>
    <s v="SFWMD - $12,395,150/ Florida Legislature - $4,905,440"/>
    <s v="N/A"/>
    <s v="N/A"/>
    <n v="26.81848578"/>
    <n v="-81.145942020000007"/>
    <s v="N/A"/>
    <s v="Y"/>
    <s v="Structural"/>
    <m/>
    <n v="2019"/>
    <s v="Not provided"/>
    <s v="Not provided"/>
    <m/>
  </r>
  <r>
    <n v="5167"/>
    <x v="1"/>
    <s v="N/A"/>
    <s v="CA-03"/>
    <s v="Lake Hicpochee Storage and Shallow Hydrologic Enhancement Expansion"/>
    <s v="Building on Phase I efforts, project will expand regional storage in the Caloosahatchee River Watershed and reduce flows lost to tide on over 2,600 acres of District lands."/>
    <s v="Hydrologic Restoration"/>
    <x v="0"/>
    <s v="2022"/>
    <s v="2025"/>
    <s v="N/A"/>
    <n v="3810.8294399999995"/>
    <s v="East Caloosahatchee"/>
    <n v="2648"/>
    <n v="95231364"/>
    <s v="TBD"/>
    <s v="SFWMD/ Florida Legislature"/>
    <s v="SFWMD - $27,043/ Florida Legislature - $1,500,000"/>
    <s v="N/A"/>
    <s v="N/A"/>
    <n v="26.817145289999999"/>
    <n v="-81.148903180000005"/>
    <s v="N/A"/>
    <s v="Y"/>
    <s v="Structural"/>
    <m/>
    <n v="2019"/>
    <s v="Not provided"/>
    <s v="Not provided"/>
    <n v="4"/>
  </r>
  <r>
    <n v="5168"/>
    <x v="1"/>
    <s v="N/A"/>
    <s v="CA-04"/>
    <s v="BOMA Flow Equalization Basin (FEB)"/>
    <s v="Expand regional storage in the Caloosahatchee River Watershed and reduce flows to the estuary on approximately 1,800 acres of SFWMD lands."/>
    <s v="Hydrologic Restoration"/>
    <x v="0"/>
    <s v="2023"/>
    <s v="2025"/>
    <s v="N/A"/>
    <s v="N/A"/>
    <s v="East Caloosahatchee"/>
    <n v="1797"/>
    <s v="TBD"/>
    <s v="TBD"/>
    <s v="SFWMD/ Florida Legislature"/>
    <s v="TBD"/>
    <s v="N/A"/>
    <s v="N/A"/>
    <s v="26.779607"/>
    <s v="-81.289079"/>
    <s v="N/A"/>
    <s v="Y"/>
    <s v="Structural"/>
    <m/>
    <n v="2019"/>
    <s v="Not provided"/>
    <s v="Not provided"/>
    <m/>
  </r>
  <r>
    <n v="5169"/>
    <x v="1"/>
    <s v="N/A"/>
    <s v="CA-05"/>
    <s v="C-43 Water Quality Treatment and Testing Facility, Phase II - Test Cells"/>
    <s v="Evaluate the effectiveness of wetland treatment systems in reducing nitrogen at a test-scale."/>
    <s v="Study"/>
    <x v="0"/>
    <s v="2022"/>
    <s v="2024"/>
    <s v="N/A"/>
    <s v="N/A"/>
    <s v="East Caloosahatchee"/>
    <s v="TBD"/>
    <s v="TBD"/>
    <s v="TBD"/>
    <s v="SFWMD/ Florida Legislature"/>
    <s v="TBD"/>
    <s v="N/A"/>
    <s v="N/A"/>
    <s v="Not provided"/>
    <s v="Not provided"/>
    <s v="N/A"/>
    <s v="Y"/>
    <s v="Non-structural"/>
    <m/>
    <n v="2019"/>
    <s v="Not provided"/>
    <s v="Not provided"/>
    <m/>
  </r>
  <r>
    <n v="5170"/>
    <x v="1"/>
    <s v="N/A"/>
    <s v="CA-06"/>
    <s v="C-43 West Basin Storage Reservoir Water Quality Component"/>
    <s v="Construct and operate a water quality treatment component at the C-43 West Basin Storage Reservoir to reduce discharge of nutrients which may contribute to blue-green algal blooms."/>
    <s v="Constructed Wetland Treatment"/>
    <x v="3"/>
    <s v="2019"/>
    <s v="2025"/>
    <s v="TBD"/>
    <s v="TBD"/>
    <s v="West Caloosahatchee"/>
    <s v="N/A"/>
    <n v="659385"/>
    <s v="N/A"/>
    <s v="Florida Legislature"/>
    <s v="$659,385"/>
    <s v="N/A"/>
    <s v="N/A"/>
    <s v="Not provided"/>
    <s v="Not provided"/>
    <s v="N/A"/>
    <s v="Y"/>
    <s v="Non-structural"/>
    <m/>
    <n v="2019"/>
    <s v="Not provided"/>
    <s v="Not provided"/>
    <m/>
  </r>
  <r>
    <n v="5171"/>
    <x v="1"/>
    <s v="N/A"/>
    <s v="CA-07"/>
    <s v="Mudge Ranch"/>
    <s v="304-acre project area, which has an estimated water storage benefit of 396 ac-ft/yr."/>
    <s v="Dispersed Water Management (DWM)"/>
    <x v="1"/>
    <s v="2013"/>
    <s v="2014"/>
    <s v="N/A"/>
    <s v="N/A"/>
    <s v="West Caloosahatchee"/>
    <n v="304"/>
    <n v="17200"/>
    <n v="47500"/>
    <s v="Florida Legislature"/>
    <s v="$302,200"/>
    <s v="N/A"/>
    <s v="N/A"/>
    <n v="26.821022630000002"/>
    <n v="-81.470341869999999"/>
    <s v="N/A"/>
    <s v="Y"/>
    <s v="Structural"/>
    <m/>
    <n v="2019"/>
    <s v="Not provided"/>
    <s v="Not provided"/>
    <m/>
  </r>
  <r>
    <n v="2318"/>
    <x v="2"/>
    <s v="UF-IFAS"/>
    <s v="CC-01"/>
    <s v="Education Efforts"/>
    <s v="FYN; landscape, irrigation, pet waste, and fertilizer ordinances; pamphlets, PSAs, website, and Illicit Discharge Program."/>
    <s v="Education Efforts"/>
    <x v="2"/>
    <s v="Not provided"/>
    <s v="N/A"/>
    <n v="9299.2142886460551"/>
    <n v="3448.2961113327337"/>
    <s v="Tidal Caloosahatchee"/>
    <s v="N/A"/>
    <s v="Not provided"/>
    <n v="2000"/>
    <s v="City"/>
    <s v="Not provided"/>
    <s v="N/A"/>
    <s v="N/A"/>
    <s v="N/A"/>
    <s v="N/A"/>
    <s v="N/A"/>
    <m/>
    <s v="Non-structural"/>
    <s v="Ongoing"/>
    <n v="2012"/>
    <n v="6998.4709679999996"/>
    <s v="N/A"/>
    <m/>
  </r>
  <r>
    <n v="2329"/>
    <x v="2"/>
    <s v="N/A"/>
    <s v="CC-02"/>
    <s v="SE - 1 Swale/ Inlet Replacement"/>
    <s v="Installed raised inlets to provide additional water quality in roadside swales."/>
    <s v="Grass Swales with Swale Blocks or Raised Culverts"/>
    <x v="1"/>
    <s v="Not provided"/>
    <s v="Prior to 2012"/>
    <n v="0"/>
    <s v="N/A"/>
    <s v="Tidal Caloosahatchee"/>
    <s v="Not provided"/>
    <s v="Not provided"/>
    <s v="Not provided"/>
    <s v="City"/>
    <s v="Not provided"/>
    <s v="N/A"/>
    <s v="N/A"/>
    <s v="Not provided"/>
    <s v="Not provided"/>
    <s v="N/A"/>
    <m/>
    <s v="Structural"/>
    <s v="Completed"/>
    <n v="2012"/>
    <n v="0"/>
    <s v="N/A"/>
    <m/>
  </r>
  <r>
    <n v="2327"/>
    <x v="2"/>
    <s v="N/A"/>
    <s v="CC-03"/>
    <s v="SW - 1 Swale/ Inlet Replacement"/>
    <s v="Installed raised inlets to provide additional water quality in roadside swales."/>
    <s v="Grass Swales with Swale Blocks or Raised Culverts"/>
    <x v="1"/>
    <s v="Not provided"/>
    <s v="Prior to 2012"/>
    <n v="0"/>
    <s v="N/A"/>
    <s v="Tidal Caloosahatchee"/>
    <s v="Not provided"/>
    <s v="Not provided"/>
    <s v="Not provided"/>
    <s v="City"/>
    <s v="Not provided"/>
    <s v="N/A"/>
    <s v="N/A"/>
    <s v="Not provided"/>
    <s v="Not provided"/>
    <s v="N/A"/>
    <m/>
    <s v="Structural"/>
    <s v="Completed"/>
    <n v="2012"/>
    <n v="0"/>
    <s v="N/A"/>
    <m/>
  </r>
  <r>
    <n v="2339"/>
    <x v="2"/>
    <s v="N/A"/>
    <s v="CC-04"/>
    <s v="SW - 2 Swale/ Inlet Replacement"/>
    <s v="Installed raised inlets to provide additional water quality in roadside swales."/>
    <s v="Grass Swales with Swale Blocks or Raised Culverts"/>
    <x v="1"/>
    <s v="Not provided"/>
    <s v="Prior to 2012"/>
    <n v="0"/>
    <s v="N/A"/>
    <s v="Tidal Caloosahatchee"/>
    <s v="Not provided"/>
    <s v="Not provided"/>
    <s v="Not provided"/>
    <s v="City"/>
    <s v="Not provided"/>
    <s v="N/A"/>
    <s v="N/A"/>
    <s v="Not provided"/>
    <s v="Not provided"/>
    <s v="N/A"/>
    <m/>
    <s v="Structural"/>
    <s v="Completed"/>
    <n v="2012"/>
    <n v="0"/>
    <s v="N/A"/>
    <m/>
  </r>
  <r>
    <n v="2304"/>
    <x v="2"/>
    <s v="N/A"/>
    <s v="CC-05"/>
    <s v="SW - 3 Swale/ Inlet Replacement"/>
    <s v="Installed raised inlets to provide additional water quality in roadside swales."/>
    <s v="Grass Swales with Swale Blocks or Raised Culverts"/>
    <x v="1"/>
    <s v="Not provided"/>
    <s v="Prior to 2012"/>
    <n v="0"/>
    <s v="N/A"/>
    <s v="Tidal Caloosahatchee"/>
    <s v="Not provided"/>
    <s v="Not provided"/>
    <s v="Not provided"/>
    <s v="City"/>
    <s v="Not provided"/>
    <s v="N/A"/>
    <s v="N/A"/>
    <s v="Not provided"/>
    <s v="Not provided"/>
    <s v="N/A"/>
    <m/>
    <s v="Structural"/>
    <s v="Completed"/>
    <n v="2012"/>
    <n v="0"/>
    <s v="N/A"/>
    <m/>
  </r>
  <r>
    <n v="2328"/>
    <x v="2"/>
    <s v="DEP"/>
    <s v="CC-06"/>
    <s v="SW - 4 Swale/ Inlet Replacement"/>
    <s v="Installed raised inlets to provide additional water quality in roadside swales."/>
    <s v="Grass Swales with Swale Blocks or Raised Culverts"/>
    <x v="1"/>
    <s v="Not provided"/>
    <s v="Prior to 2012"/>
    <n v="0"/>
    <s v="N/A"/>
    <s v="Tidal Caloosahatchee"/>
    <s v="Not provided"/>
    <s v="Not provided"/>
    <s v="Not provided"/>
    <s v="City"/>
    <s v="City - $171,911"/>
    <s v="TBD"/>
    <s v="N/A"/>
    <s v="Not provided"/>
    <s v="Not provided"/>
    <s v="N/A"/>
    <m/>
    <s v="Structural"/>
    <s v="Completed"/>
    <n v="2012"/>
    <n v="0"/>
    <s v="N/A"/>
    <m/>
  </r>
  <r>
    <n v="2296"/>
    <x v="2"/>
    <s v="DEP"/>
    <s v="CC-07"/>
    <s v="SW - 5 Swale/ Inlet Replacement"/>
    <s v="Installed raised inlets to provide additional water quality in roadside swales."/>
    <s v="Grass Swales with Swale Blocks or Raised Culverts"/>
    <x v="1"/>
    <s v="Not provided"/>
    <s v="Prior to 2012"/>
    <n v="0"/>
    <s v="N/A"/>
    <s v="Tidal Caloosahatchee"/>
    <s v="Not provided"/>
    <s v="Not provided"/>
    <s v="Not provided"/>
    <s v="City"/>
    <s v="City - $172,629"/>
    <s v="TBD"/>
    <s v="N/A"/>
    <s v="Not provided"/>
    <s v="Not provided"/>
    <s v="N/A"/>
    <m/>
    <s v="Structural"/>
    <s v="Completed"/>
    <n v="2012"/>
    <n v="0"/>
    <s v="N/A"/>
    <m/>
  </r>
  <r>
    <n v="2297"/>
    <x v="2"/>
    <s v="N/A"/>
    <s v="CC-08"/>
    <s v="SE Pipe Replacement"/>
    <s v="SE pipe replacement."/>
    <s v="Stormwater System Rehabilitation"/>
    <x v="1"/>
    <s v="Not provided"/>
    <s v="Prior to 2012"/>
    <s v="N/A"/>
    <s v="N/A"/>
    <s v="Tidal Caloosahatchee"/>
    <s v="Not provided"/>
    <s v="Not provided"/>
    <s v="Not provided"/>
    <s v="City"/>
    <s v="Not provided"/>
    <s v="N/A"/>
    <s v="N/A"/>
    <s v="Not provided"/>
    <s v="Not provided"/>
    <s v="N/A"/>
    <m/>
    <s v="Structural"/>
    <s v="Completed"/>
    <n v="2012"/>
    <n v="0"/>
    <s v="N/A"/>
    <m/>
  </r>
  <r>
    <n v="2298"/>
    <x v="2"/>
    <s v="N/A"/>
    <s v="CC-09"/>
    <s v="Unit 23 – SE 8th Street Drainage"/>
    <s v="Unit 23–SE 8th Street drainage."/>
    <s v="Stormwater System Rehabilitation"/>
    <x v="1"/>
    <s v="Not provided"/>
    <s v="Prior to 2012"/>
    <s v="N/A"/>
    <s v="N/A"/>
    <s v="Tidal Caloosahatchee"/>
    <s v="Not provided"/>
    <s v="Not provided"/>
    <s v="Not provided"/>
    <s v="City"/>
    <s v="Not provided"/>
    <s v="N/A"/>
    <s v="N/A"/>
    <s v="Not provided"/>
    <s v="Not provided"/>
    <s v="N/A"/>
    <m/>
    <s v="Structural"/>
    <s v="Completed"/>
    <n v="2012"/>
    <n v="0"/>
    <s v="N/A"/>
    <m/>
  </r>
  <r>
    <n v="2361"/>
    <x v="2"/>
    <s v="N/A"/>
    <s v="CC-10"/>
    <s v="Freshwater Canal Detention"/>
    <s v="Regulation of freshwater canals through existing control structures."/>
    <s v="Control Structure"/>
    <x v="1"/>
    <s v="Not provided"/>
    <s v="Prior to 2012"/>
    <n v="4415.9061545880486"/>
    <n v="3411.7144657723475"/>
    <s v="Tidal Caloosahatchee"/>
    <n v="10702"/>
    <s v="Not provided"/>
    <s v="Not provided"/>
    <s v="City"/>
    <s v="Not provided"/>
    <s v="N/A"/>
    <s v="N/A"/>
    <s v="Not provided"/>
    <s v="Not provided"/>
    <s v="N/A"/>
    <m/>
    <s v="Structural"/>
    <s v="Completed"/>
    <n v="2012"/>
    <n v="18130.525831999999"/>
    <s v="N/A"/>
    <m/>
  </r>
  <r>
    <n v="2299"/>
    <x v="2"/>
    <s v="N/A"/>
    <s v="CC-11"/>
    <s v="Freshwater Canal Irrigation"/>
    <s v="Pump stormwater stored in canals into irrigation supply network."/>
    <s v="Stormwater Reuse"/>
    <x v="1"/>
    <s v="Not provided"/>
    <s v="Prior to 2012"/>
    <n v="796"/>
    <n v="140.80000000000001"/>
    <s v="Tidal Caloosahatchee"/>
    <s v="Not provided"/>
    <s v="Not provided"/>
    <s v="Not provided"/>
    <s v="City"/>
    <s v="Not provided"/>
    <s v="N/A"/>
    <s v="N/A"/>
    <s v="Not provided"/>
    <s v="Not provided"/>
    <s v="N/A"/>
    <m/>
    <s v="Structural"/>
    <s v="Completed"/>
    <n v="2012"/>
    <n v="12550.89064"/>
    <s v="N/A"/>
    <m/>
  </r>
  <r>
    <n v="2330"/>
    <x v="2"/>
    <s v="N/A"/>
    <s v="CC-12"/>
    <s v="Weir #6 Elevation/ Basin 12"/>
    <s v="Installed riser on weir in freshwater canal system to provide additional retention volume in canals."/>
    <s v="Control Structure"/>
    <x v="1"/>
    <s v="Not provided"/>
    <s v="Prior to 2012"/>
    <s v="N/A"/>
    <s v="N/A"/>
    <s v="Tidal Caloosahatchee"/>
    <n v="932"/>
    <s v="Not provided"/>
    <s v="Not provided"/>
    <s v="City"/>
    <s v="Not provided"/>
    <s v="N/A"/>
    <s v="N/A"/>
    <s v="Not provided"/>
    <s v="Not provided"/>
    <s v="N/A"/>
    <m/>
    <s v="Structural"/>
    <s v="Completed"/>
    <n v="2012"/>
    <n v="0"/>
    <s v="N/A"/>
    <m/>
  </r>
  <r>
    <n v="2300"/>
    <x v="2"/>
    <s v="N/A"/>
    <s v="CC-13"/>
    <s v="Weir #1 Elevation/ Basin 15"/>
    <s v="Installed riser on weir in freshwater canal system to provide additional retention volume in canals."/>
    <s v="Control Structure"/>
    <x v="1"/>
    <s v="Not provided"/>
    <s v="Prior to 2012"/>
    <s v="N/A"/>
    <s v="N/A"/>
    <s v="Tidal Caloosahatchee"/>
    <n v="1314"/>
    <s v="Not provided"/>
    <s v="Not provided"/>
    <s v="City"/>
    <s v="Not provided"/>
    <s v="N/A"/>
    <s v="N/A"/>
    <s v="Not provided"/>
    <s v="Not provided"/>
    <s v="N/A"/>
    <m/>
    <s v="Structural"/>
    <s v="Completed"/>
    <n v="2012"/>
    <n v="0"/>
    <s v="N/A"/>
    <m/>
  </r>
  <r>
    <n v="2301"/>
    <x v="2"/>
    <s v="N/A"/>
    <s v="CC-14"/>
    <s v="Street Sweeping"/>
    <s v="Street sweeping of downtown area, alleys, and commercial roads."/>
    <s v="Street Sweeping"/>
    <x v="2"/>
    <s v="2015"/>
    <s v="N/A"/>
    <n v="245.7507490952089"/>
    <n v="140.54965445521"/>
    <s v="Tidal Caloosahatchee"/>
    <s v="N/A"/>
    <s v="Not provided"/>
    <n v="360000"/>
    <s v="City"/>
    <s v="Not provided"/>
    <s v="N/A"/>
    <s v="N/A"/>
    <s v="Not provided"/>
    <s v="Not provided"/>
    <s v="N/A"/>
    <m/>
    <s v="Non-structural"/>
    <s v="Ongoing"/>
    <n v="2014"/>
    <n v="491.69372800000002"/>
    <s v="N/A"/>
    <m/>
  </r>
  <r>
    <n v="2302"/>
    <x v="2"/>
    <s v="N/A"/>
    <s v="CC-15"/>
    <s v="Septic to Sewer Phase Out Project"/>
    <s v="Phase out septic tanks in Southwest 6/7 area."/>
    <s v="OSTDS Phase Out"/>
    <x v="1"/>
    <s v="Not provided"/>
    <s v="2015"/>
    <n v="66149"/>
    <s v="N/A"/>
    <s v="Tidal Caloosahatchee"/>
    <n v="2560"/>
    <s v="Not provided"/>
    <s v="Not provided"/>
    <s v="City"/>
    <s v="Not provided"/>
    <s v="N/A"/>
    <s v="N/A"/>
    <s v="Not provided"/>
    <s v="Not provided"/>
    <s v="N/A"/>
    <m/>
    <s v="Structural"/>
    <s v="Completed"/>
    <n v="2015"/>
    <s v="TBD"/>
    <s v="N/A"/>
    <m/>
  </r>
  <r>
    <n v="2332"/>
    <x v="2"/>
    <s v="N/A"/>
    <s v="CC-16"/>
    <s v="Catch Basin Cleanout"/>
    <s v="Catch basin cleanouts from Caloosahatchee Watershed areas."/>
    <s v="Catch Basin Inserts/Inlet Filter Cleanout"/>
    <x v="1"/>
    <s v="2015"/>
    <s v="2015"/>
    <n v="109.32637887505491"/>
    <n v="56.023288838789995"/>
    <s v="Tidal Caloosahatchee"/>
    <s v="Not provided"/>
    <s v="Not provided"/>
    <n v="170000"/>
    <s v="City"/>
    <s v="Not provided"/>
    <s v="N/A"/>
    <s v="N/A"/>
    <s v="Not provided"/>
    <s v="Not provided"/>
    <s v="N/A"/>
    <m/>
    <s v="Non-structural"/>
    <m/>
    <n v="2016"/>
    <n v="267.61928"/>
    <s v="N/A"/>
    <m/>
  </r>
  <r>
    <n v="4365"/>
    <x v="2"/>
    <s v="N/A"/>
    <s v="CC-17"/>
    <s v="Unit 8 – SE 47th Terrace Streetscape Improvements Club Square"/>
    <s v="Suntree Technologies Skimboss and Bold and Gold Media - Club Square."/>
    <s v="Baffle Boxes- Second Generation with Media"/>
    <x v="1"/>
    <s v="Not provided"/>
    <s v="2018"/>
    <s v="TBD"/>
    <s v="TBD"/>
    <s v="Tidal Caloosahatchee"/>
    <n v="5"/>
    <s v="Not provided"/>
    <s v="Not provided"/>
    <s v="City of Cape Coral"/>
    <s v="Not provided"/>
    <s v="N/A"/>
    <s v="N/A"/>
    <n v="26.564589000000002"/>
    <n v="-81.958070000000006"/>
    <s v="N/A"/>
    <m/>
    <s v="Structural"/>
    <s v="Completed"/>
    <n v="2018"/>
    <s v="Not provided"/>
    <s v="Not provided"/>
    <m/>
  </r>
  <r>
    <n v="4366"/>
    <x v="2"/>
    <s v="City of Fort Myers"/>
    <s v="CC-18"/>
    <s v="Ft Myers Cape Coral Wastewater Pipeline"/>
    <s v="Elimination of wastewater treatment plant effluent discharges to the river from Ft Myers by conveying wastewater to Cape Coral for reuse in Cape Coral water reclamation system."/>
    <s v="WWTF Diversion to Reuse"/>
    <x v="3"/>
    <s v="Not provided"/>
    <s v="TBD"/>
    <s v="TBD"/>
    <s v="TBD"/>
    <s v="Tidal Caloosahatchee"/>
    <s v="N/A"/>
    <s v="Not provided"/>
    <s v="Not provided"/>
    <s v="City of Cape Coral"/>
    <s v="Not provided"/>
    <s v="N/A"/>
    <s v="N/A"/>
    <n v="26.59652977"/>
    <n v="-81.889768259999997"/>
    <s v="Entity did not respond to requests"/>
    <m/>
    <s v="Structural"/>
    <s v="Underway"/>
    <n v="2018"/>
    <s v="Not provided"/>
    <s v="Not provided"/>
    <m/>
  </r>
  <r>
    <n v="4840"/>
    <x v="2"/>
    <s v="Lee County"/>
    <s v="CC-19"/>
    <s v="Yellow Fever Creek Hydrologic Restoration"/>
    <s v="Transfer water from Gator Slough to a new reservoir in Yellow Fever Creek and slowly releasing the flow into the headwaters of Yellow Fever Creek, extending wetland hydroperiods."/>
    <s v="Hydrologic Restoration"/>
    <x v="3"/>
    <s v="Not provided"/>
    <s v="TBD"/>
    <n v="13.5"/>
    <n v="18.8"/>
    <s v="Tidal Caloosahatchee"/>
    <n v="30.55"/>
    <s v="TBD"/>
    <s v="TBD"/>
    <s v="Not provided"/>
    <s v="Not provided"/>
    <s v="N/A"/>
    <s v="Not provided"/>
    <n v="26.71308702"/>
    <n v="-81.930542399999993"/>
    <s v="N/A"/>
    <m/>
    <s v="Structural"/>
    <s v="Underway"/>
    <n v="2019"/>
    <s v="N/A"/>
    <s v="N/A"/>
    <m/>
  </r>
  <r>
    <n v="5172"/>
    <x v="3"/>
    <s v="City of Clewiston/ DEP/ FDACS"/>
    <s v="CD-01"/>
    <s v="Public Education and Outreach"/>
    <s v="Updates on BMAP and requirements during annual landowner meetings."/>
    <s v="Education Efforts"/>
    <x v="0"/>
    <s v="2021"/>
    <s v="N/A"/>
    <s v="N/A"/>
    <s v="N/A"/>
    <s v="East Caloosahatchee"/>
    <s v="N/A"/>
    <n v="500"/>
    <s v="N/A"/>
    <s v="Clewiston Drainage District"/>
    <s v="$500"/>
    <s v="N/A"/>
    <s v="N/A"/>
    <n v="26.750692000000001"/>
    <n v="-80.936481000000001"/>
    <s v="N/A"/>
    <m/>
    <s v="Non-structural"/>
    <m/>
    <n v="2019"/>
    <s v="N/A"/>
    <s v="N/A"/>
    <m/>
  </r>
  <r>
    <n v="5173"/>
    <x v="3"/>
    <s v="FDACS"/>
    <s v="CD-02"/>
    <s v="FDACS BMP Assistance"/>
    <s v="Provide assistance to FDACS, as needed, to encourage landowners to enroll in BMPs."/>
    <s v="Agricultural BMPs"/>
    <x v="0"/>
    <s v="2021"/>
    <s v="N/A"/>
    <s v="N/A"/>
    <s v="N/A"/>
    <s v="East Caloosahatchee"/>
    <s v="N/A"/>
    <n v="1000"/>
    <s v="N/A"/>
    <s v="Clewiston Drainage District"/>
    <s v="$1,000"/>
    <s v="N/A"/>
    <s v="N/A"/>
    <n v="26.750692000000001"/>
    <n v="-80.936481000000001"/>
    <s v="N/A"/>
    <m/>
    <s v="Non-structural"/>
    <m/>
    <n v="2019"/>
    <s v="N/A"/>
    <s v="N/A"/>
    <m/>
  </r>
  <r>
    <n v="5174"/>
    <x v="3"/>
    <s v="N/A"/>
    <s v="CD-03"/>
    <s v="Nutrient Controls"/>
    <s v="No application of fertilizer in district's rights-of-way."/>
    <s v="Fertilizer Cessation"/>
    <x v="1"/>
    <s v="2020"/>
    <s v="2020"/>
    <s v="N/A"/>
    <s v="N/A"/>
    <s v="East Caloosahatchee"/>
    <s v="N/A"/>
    <n v="0"/>
    <s v="N/A"/>
    <s v="Clewiston Drainage District"/>
    <s v="N/A"/>
    <s v="N/A"/>
    <s v="N/A"/>
    <n v="26.755175000000001"/>
    <n v="-80.935078000000004"/>
    <s v="N/A"/>
    <m/>
    <s v="Non-structural"/>
    <m/>
    <n v="2019"/>
    <s v="N/A"/>
    <s v="N/A"/>
    <m/>
  </r>
  <r>
    <n v="5175"/>
    <x v="3"/>
    <s v="N/A"/>
    <s v="CD-04"/>
    <s v="Control Structures"/>
    <s v="Annual maintenance of water control structures."/>
    <s v="Control Structure"/>
    <x v="2"/>
    <s v="2020"/>
    <s v="N/A"/>
    <s v="N/A"/>
    <s v="N/A"/>
    <s v="East Caloosahatchee"/>
    <s v="N/A"/>
    <n v="22500"/>
    <s v="N/A"/>
    <s v="Clewiston Drainage District"/>
    <s v="$22,500"/>
    <s v="N/A"/>
    <s v="N/A"/>
    <n v="26.75631388888889"/>
    <n v="-80.927722222222229"/>
    <s v="N/A"/>
    <m/>
    <s v="Structural"/>
    <m/>
    <n v="2019"/>
    <s v="N/A"/>
    <s v="N/A"/>
    <m/>
  </r>
  <r>
    <n v="5176"/>
    <x v="3"/>
    <s v="N/A"/>
    <s v="CD-05"/>
    <s v="Aquatic Vegetation Control"/>
    <s v="Mechanical removal of vegetation."/>
    <s v="Aquatic Vegetation Harvesting"/>
    <x v="0"/>
    <s v="2020"/>
    <s v="N/A"/>
    <s v="N/A"/>
    <s v="N/A"/>
    <s v="East Caloosahatchee"/>
    <s v="N/A"/>
    <n v="2000"/>
    <s v="N/A"/>
    <s v="Clewiston Drainage District"/>
    <s v="$14,000"/>
    <s v="N/A"/>
    <s v="N/A"/>
    <n v="26.755175000000001"/>
    <n v="-80.935078000000004"/>
    <s v="N/A"/>
    <m/>
    <s v="Non-structural"/>
    <m/>
    <n v="2019"/>
    <s v="N/A"/>
    <s v="N/A"/>
    <m/>
  </r>
  <r>
    <n v="2331"/>
    <x v="4"/>
    <s v="Not provided"/>
    <s v="CH-01"/>
    <s v="Education Efforts"/>
    <s v="Florida Yards and Neighborhoods (FYN) Program; landscape, irrigation, and fertilizer ordinances; pamphlets, public service announcements (PSAs), website, inspection/illicit discharge program."/>
    <s v="Education Efforts"/>
    <x v="2"/>
    <s v="Not provided"/>
    <s v="N/A"/>
    <n v="1272.2774924126636"/>
    <n v="212.39781875572319"/>
    <s v="Tidal Caloosahatchee; West Caloosahatchee"/>
    <s v="N/A"/>
    <s v="Not provided"/>
    <s v="Not provided"/>
    <s v="Not provided"/>
    <s v="Not provided"/>
    <s v="N/A"/>
    <s v="N/A"/>
    <s v="N/A"/>
    <s v="N/A"/>
    <s v="N/A"/>
    <m/>
    <s v="Non-structural"/>
    <s v="Ongoing"/>
    <n v="2012"/>
    <n v="172.71195788"/>
    <s v="N/A"/>
    <m/>
  </r>
  <r>
    <n v="5177"/>
    <x v="5"/>
    <s v="DEP/ FDACS"/>
    <s v="CL-01"/>
    <s v="Public Education and Outreach"/>
    <s v="Updates on BMAP and requirements during annual landowner meetings."/>
    <s v="Education Efforts"/>
    <x v="0"/>
    <s v="Not provided"/>
    <s v="N/A"/>
    <s v="N/A"/>
    <s v="N/A"/>
    <s v="West Caloosahatchee"/>
    <s v="N/A"/>
    <s v="Not provided"/>
    <s v="N/A"/>
    <s v="County Line Drainage District"/>
    <s v="Not provided"/>
    <s v="N/A"/>
    <s v="N/A"/>
    <s v="Not provided"/>
    <s v="Not provided"/>
    <s v="N/A"/>
    <m/>
    <s v="Non-structural"/>
    <m/>
    <n v="2019"/>
    <s v="N/A"/>
    <s v="N/A"/>
    <m/>
  </r>
  <r>
    <n v="5178"/>
    <x v="5"/>
    <s v="FDACS"/>
    <s v="CL-02"/>
    <s v="FDACS BMP Assistance"/>
    <s v="Provide assistance to FDACS, as needed, to encourage landowners to enroll in BMPs."/>
    <s v="Agricultural BMPs"/>
    <x v="0"/>
    <s v="Not provided"/>
    <s v="N/A"/>
    <s v="N/A"/>
    <s v="N/A"/>
    <s v="West Caloosahatchee"/>
    <s v="N/A"/>
    <s v="Not provided"/>
    <s v="N/A"/>
    <s v="County Line Drainage District"/>
    <s v="Not provided"/>
    <s v="N/A"/>
    <s v="N/A"/>
    <s v="Not provided"/>
    <s v="Not provided"/>
    <s v="N/A"/>
    <m/>
    <s v="Non-structural"/>
    <m/>
    <n v="2019"/>
    <s v="N/A"/>
    <s v="N/A"/>
    <m/>
  </r>
  <r>
    <n v="5179"/>
    <x v="5"/>
    <s v="N/A"/>
    <s v="CL-03"/>
    <s v="Nutrient Controls"/>
    <s v="No application of fertilizer in district's rights-of-way."/>
    <s v="Fertilizer Cessation"/>
    <x v="1"/>
    <s v="Not provided"/>
    <s v="2020"/>
    <s v="N/A"/>
    <s v="N/A"/>
    <s v="West Caloosahatchee"/>
    <s v="N/A"/>
    <s v="Not provided"/>
    <s v="N/A"/>
    <s v="County Line Drainage District"/>
    <s v="Not provided"/>
    <s v="N/A"/>
    <s v="N/A"/>
    <s v="Not provided"/>
    <s v="Not provided"/>
    <s v="N/A"/>
    <m/>
    <s v="Non-structural"/>
    <m/>
    <n v="2019"/>
    <s v="N/A"/>
    <s v="N/A"/>
    <m/>
  </r>
  <r>
    <n v="5180"/>
    <x v="5"/>
    <s v="N/A"/>
    <s v="CL-04"/>
    <s v="Canal Cleaning Program"/>
    <s v="Review and field evaluation of sediment accumulation and scheduling of removal, when necessary."/>
    <s v="Muck Removal/Restoration Dredging"/>
    <x v="0"/>
    <s v="Not provided"/>
    <s v="N/A"/>
    <s v="N/A"/>
    <s v="N/A"/>
    <s v="West Caloosahatchee"/>
    <s v="N/A"/>
    <s v="Not provided"/>
    <s v="N/A"/>
    <s v="County Line Drainage District"/>
    <s v="Not provided"/>
    <s v="N/A"/>
    <s v="N/A"/>
    <s v="Not provided"/>
    <s v="Not provided"/>
    <s v="N/A"/>
    <m/>
    <s v="Non-structural"/>
    <m/>
    <n v="2019"/>
    <s v="N/A"/>
    <s v="N/A"/>
    <m/>
  </r>
  <r>
    <n v="5181"/>
    <x v="5"/>
    <s v="N/A"/>
    <s v="CL-05"/>
    <s v="Control Structures"/>
    <s v="Annual maintenance of water control structures."/>
    <s v="Control Structure"/>
    <x v="2"/>
    <s v="Not provided"/>
    <s v="N/A"/>
    <s v="N/A"/>
    <s v="N/A"/>
    <s v="West Caloosahatchee"/>
    <s v="N/A"/>
    <s v="Not provided"/>
    <s v="N/A"/>
    <s v="County Line Drainage District"/>
    <s v="Not provided"/>
    <s v="N/A"/>
    <s v="N/A"/>
    <s v="Not provided"/>
    <s v="Not provided"/>
    <s v="N/A"/>
    <m/>
    <s v="Structural"/>
    <m/>
    <n v="2019"/>
    <s v="N/A"/>
    <s v="N/A"/>
    <m/>
  </r>
  <r>
    <m/>
    <x v="6"/>
    <s v="N/A"/>
    <s v="CW-04"/>
    <s v="Reverse Osmosis WTP Dry Pond"/>
    <s v="Dry detention pond (volume required = 0.23 ac-ft, volume provided = 1.12 ac-ft)."/>
    <s v="Dry Detention Pond"/>
    <x v="1"/>
    <s v="2006"/>
    <s v="Prior to 2012"/>
    <n v="18.7"/>
    <n v="1.4"/>
    <s v="East Caloosahatchee"/>
    <n v="68"/>
    <s v="N/A"/>
    <s v="N/A"/>
    <s v="N/A"/>
    <s v="N/A"/>
    <s v="N/A"/>
    <s v="N/A"/>
    <n v="26.741323000000001"/>
    <n v="-80.938835999999995"/>
    <s v="N/A"/>
    <s v="N"/>
    <s v="Structural"/>
    <m/>
    <n v="2020"/>
    <s v="N/A"/>
    <s v="N/A"/>
    <m/>
  </r>
  <r>
    <m/>
    <x v="6"/>
    <s v="Sweet Lake Villas, LLC"/>
    <s v="CW-05"/>
    <s v="Sweet Lake Villas Community Association, Inc."/>
    <s v="Wet detention pond (volume required = 0.71 ac-ft, volume provided = 1.88 ac-ft)."/>
    <s v="Wet Detention Pond"/>
    <x v="1"/>
    <s v="2006"/>
    <s v="Prior to 2012"/>
    <n v="1.4"/>
    <n v="0.6"/>
    <s v="East Caloosahatchee"/>
    <n v="7.2"/>
    <s v="N/A"/>
    <s v="N/A"/>
    <s v="N/A"/>
    <s v="N/A"/>
    <s v="N/A"/>
    <s v="N/A"/>
    <n v="26.756734000000002"/>
    <n v="-80.945721000000006"/>
    <s v="N/A"/>
    <s v="N"/>
    <s v="Structural"/>
    <m/>
    <n v="2020"/>
    <s v="N/A"/>
    <s v="N/A"/>
    <m/>
  </r>
  <r>
    <m/>
    <x v="6"/>
    <s v="N/A"/>
    <s v="CW-06"/>
    <s v="East Ventura Water Quality"/>
    <s v="Constructed wetlands to treat runoff."/>
    <s v="Stormwater Treatment Areas (STAs)"/>
    <x v="3"/>
    <s v="2020"/>
    <s v="TBD"/>
    <n v="37.700000000000003"/>
    <n v="6.3"/>
    <s v="East Caloosahatchee"/>
    <n v="22.7"/>
    <n v="461000"/>
    <s v="TBD"/>
    <s v="Grant"/>
    <s v="$461,000"/>
    <s v="TBD"/>
    <s v="26-103570-P"/>
    <n v="26.751328000000001"/>
    <n v="-80.930082999999996"/>
    <s v="Grant"/>
    <s v="N"/>
    <s v="Structural"/>
    <m/>
    <n v="2020"/>
    <s v="N/A"/>
    <s v="N/A"/>
    <m/>
  </r>
  <r>
    <n v="5182"/>
    <x v="7"/>
    <s v="DEP/ FDACS"/>
    <s v="CS-01"/>
    <s v="Public Education and Outreach"/>
    <s v="Updates on BMAP and requirements during annual landowner meetings."/>
    <s v="Education Efforts"/>
    <x v="0"/>
    <s v="2021"/>
    <s v="N/A"/>
    <s v="N/A"/>
    <s v="N/A"/>
    <s v="East Caloosahatchee"/>
    <s v="N/A"/>
    <n v="500"/>
    <s v="N/A"/>
    <s v="Collins Slough WCD"/>
    <s v="$500"/>
    <s v="N/A"/>
    <s v="N/A"/>
    <n v="26.649243999999999"/>
    <n v="-81.274416000000002"/>
    <s v="N/A"/>
    <m/>
    <s v="Non-structural"/>
    <m/>
    <n v="2019"/>
    <s v="N/A"/>
    <s v="N/A"/>
    <m/>
  </r>
  <r>
    <n v="5183"/>
    <x v="7"/>
    <s v="FDACS"/>
    <s v="CS-02"/>
    <s v="FDACS BMP Assistance"/>
    <s v="Provide assistance to FDACS, as needed, to encourage landowners to enroll in BMPs."/>
    <s v="Agricultural BMPs"/>
    <x v="0"/>
    <s v="2021"/>
    <s v="N/A"/>
    <s v="N/A"/>
    <s v="N/A"/>
    <s v="East Caloosahatchee"/>
    <s v="N/A"/>
    <n v="1000"/>
    <s v="N/A"/>
    <s v="Collins Slough WCD"/>
    <s v="$1,000"/>
    <s v="N/A"/>
    <s v="N/A"/>
    <n v="26.649243999999999"/>
    <n v="-81.274416000000002"/>
    <s v="N/A"/>
    <m/>
    <s v="Non-structural"/>
    <m/>
    <n v="2019"/>
    <s v="N/A"/>
    <s v="N/A"/>
    <m/>
  </r>
  <r>
    <n v="5184"/>
    <x v="7"/>
    <s v="N/A"/>
    <s v="CS-03"/>
    <s v="Nutrient Controls"/>
    <s v="No application of fertilizer in district's rights-of-way."/>
    <s v="Fertilizer Cessation"/>
    <x v="1"/>
    <s v="2021"/>
    <s v="2020"/>
    <s v="N/A"/>
    <s v="N/A"/>
    <s v="East Caloosahatchee"/>
    <s v="N/A"/>
    <n v="0"/>
    <s v="N/A"/>
    <s v="Collins Slough WCD"/>
    <s v="N/A"/>
    <s v="N/A"/>
    <s v="N/A"/>
    <n v="26.657171999999999"/>
    <n v="-81.280753000000004"/>
    <s v="N/A"/>
    <m/>
    <s v="Non-structural"/>
    <m/>
    <n v="2019"/>
    <s v="N/A"/>
    <s v="N/A"/>
    <m/>
  </r>
  <r>
    <n v="5185"/>
    <x v="7"/>
    <s v="N/A"/>
    <s v="CS-04"/>
    <s v="Canal Cleaning Program"/>
    <s v="Review and field evaluation of sediment accumulation and scheduling of removal, when necessary."/>
    <s v="Muck Removal/Restoration Dredging"/>
    <x v="0"/>
    <s v="2021"/>
    <s v="N/A"/>
    <s v="N/A"/>
    <s v="N/A"/>
    <s v="East Caloosahatchee"/>
    <s v="N/A"/>
    <n v="75000"/>
    <s v="N/A"/>
    <s v="Collins Slough WCD"/>
    <s v="$75,000"/>
    <s v="N/A"/>
    <s v="N/A"/>
    <n v="26.657171999999999"/>
    <n v="-81.280753000000004"/>
    <s v="N/A"/>
    <m/>
    <s v="Non-structural"/>
    <m/>
    <n v="2019"/>
    <s v="N/A"/>
    <s v="N/A"/>
    <m/>
  </r>
  <r>
    <n v="5186"/>
    <x v="7"/>
    <s v="N/A"/>
    <s v="CS-05"/>
    <s v="Control Structures"/>
    <s v="Annual maintenance of water control structures."/>
    <s v="Control Structure"/>
    <x v="2"/>
    <s v="2021"/>
    <s v="N/A"/>
    <s v="N/A"/>
    <s v="N/A"/>
    <s v="East Caloosahatchee"/>
    <s v="N/A"/>
    <n v="20000"/>
    <s v="N/A"/>
    <s v="Collins Slough WCD"/>
    <s v="$20,000"/>
    <s v="N/A"/>
    <s v="N/A"/>
    <n v="26.779836"/>
    <n v="-81.233121999999995"/>
    <s v="N/A"/>
    <m/>
    <s v="Structural"/>
    <m/>
    <n v="2019"/>
    <s v="N/A"/>
    <s v="N/A"/>
    <m/>
  </r>
  <r>
    <n v="5187"/>
    <x v="8"/>
    <s v="DEP/ FDACS"/>
    <s v="CSW-01"/>
    <s v="Public Education and Outreach"/>
    <s v="Updates on BMAP and requirements during annual landowner meetings."/>
    <s v="Education Efforts"/>
    <x v="0"/>
    <s v="2020"/>
    <s v="N/A"/>
    <s v="N/A"/>
    <s v="N/A"/>
    <s v="West Caloosahatchee"/>
    <s v="N/A"/>
    <n v="500"/>
    <s v="N/A"/>
    <s v="Cow Slough WCD"/>
    <s v="$500"/>
    <s v="N/A"/>
    <s v="N/A"/>
    <n v="26.514897000000001"/>
    <n v="-81.454757999999998"/>
    <s v="N/A"/>
    <m/>
    <s v="Non-structural"/>
    <m/>
    <n v="2019"/>
    <s v="N/A"/>
    <s v="N/A"/>
    <m/>
  </r>
  <r>
    <n v="5188"/>
    <x v="8"/>
    <s v="FDACS"/>
    <s v="CSW-02"/>
    <s v="FDACS BMP Assistance"/>
    <s v="Provide assistance to FDACS, as needed, to encourage landowners to enroll in BMPs."/>
    <s v="Agricultural BMPs"/>
    <x v="0"/>
    <s v="2020"/>
    <s v="N/A"/>
    <s v="N/A"/>
    <s v="N/A"/>
    <s v="West Caloosahatchee"/>
    <s v="N/A"/>
    <n v="1000"/>
    <s v="N/A"/>
    <s v="Cow Slough WCD"/>
    <s v="$1,000"/>
    <s v="N/A"/>
    <s v="N/A"/>
    <n v="26.514897000000001"/>
    <n v="-81.454757999999998"/>
    <s v="N/A"/>
    <m/>
    <s v="Non-structural"/>
    <m/>
    <n v="2019"/>
    <s v="N/A"/>
    <s v="N/A"/>
    <m/>
  </r>
  <r>
    <n v="5189"/>
    <x v="8"/>
    <s v="N/A"/>
    <s v="CSW-03"/>
    <s v="Nutrient Controls"/>
    <s v="No application of fertilizer in district's rights-of-way."/>
    <s v="Fertilizer Cessation"/>
    <x v="1"/>
    <s v="2020"/>
    <s v="2020"/>
    <s v="N/A"/>
    <s v="N/A"/>
    <s v="West Caloosahatchee"/>
    <s v="N/A"/>
    <n v="0"/>
    <s v="N/A"/>
    <s v="Cow Slough WCD"/>
    <s v="N/A"/>
    <s v="N/A"/>
    <s v="N/A"/>
    <n v="26.531366999999999"/>
    <n v="-81.46105"/>
    <s v="N/A"/>
    <m/>
    <s v="Non-structural"/>
    <m/>
    <n v="2019"/>
    <s v="N/A"/>
    <s v="N/A"/>
    <m/>
  </r>
  <r>
    <n v="5190"/>
    <x v="8"/>
    <s v="N/A"/>
    <s v="CSW-04"/>
    <s v="Canal/Ditch Bank Berms"/>
    <s v="Minimize sediment transport by constructing berms on top of canal/ditch banks and promoting vegetation cover."/>
    <s v="Shoreline Stabilization"/>
    <x v="0"/>
    <s v="2020"/>
    <s v="N/A"/>
    <s v="N/A"/>
    <s v="N/A"/>
    <s v="West Caloosahatchee"/>
    <s v="N/A"/>
    <n v="13000"/>
    <s v="N/A"/>
    <s v="Cow Slough WCD"/>
    <s v="$13,000"/>
    <s v="N/A"/>
    <s v="N/A"/>
    <n v="26.53136722"/>
    <n v="-81.461050400000005"/>
    <s v="N/A"/>
    <m/>
    <s v="Structural"/>
    <m/>
    <n v="2019"/>
    <s v="N/A"/>
    <s v="N/A"/>
    <m/>
  </r>
  <r>
    <n v="5191"/>
    <x v="8"/>
    <s v="N/A"/>
    <s v="CSW-05"/>
    <s v="Control Structures"/>
    <s v="Annual maintenance of water control structures."/>
    <s v="Control Structure"/>
    <x v="2"/>
    <s v="2020"/>
    <s v="N/A"/>
    <s v="N/A"/>
    <s v="N/A"/>
    <s v="West Caloosahatchee"/>
    <s v="N/A"/>
    <n v="2500"/>
    <s v="N/A"/>
    <s v="Cow Slough WCD"/>
    <s v="$2,500"/>
    <s v="N/A"/>
    <s v="N/A"/>
    <n v="26.573"/>
    <n v="-81.465186000000003"/>
    <s v="N/A"/>
    <m/>
    <s v="Structural"/>
    <m/>
    <n v="2019"/>
    <s v="N/A"/>
    <s v="N/A"/>
    <m/>
  </r>
  <r>
    <n v="4841"/>
    <x v="6"/>
    <s v="N/A"/>
    <s v="CW-01"/>
    <s v="Clewiston Public Education"/>
    <s v="Landscaping, irrigation, fertilizer, and stormwater ordinances; PSAs; pamphlets; website; illicit discharge program."/>
    <s v="Education Efforts"/>
    <x v="2"/>
    <s v="N/A"/>
    <s v="N/A"/>
    <n v="194.46640778886223"/>
    <n v="29.469053180951033"/>
    <s v="East Caloosahatchee"/>
    <s v="N/A"/>
    <n v="10000"/>
    <s v="N/A"/>
    <s v="City General Fund"/>
    <s v="$10,000"/>
    <s v="N/A"/>
    <s v="N/A"/>
    <n v="26.749203000000001"/>
    <n v="-80.934822999999994"/>
    <s v="N/A"/>
    <s v="N"/>
    <s v="Non-structural"/>
    <s v="Underway"/>
    <n v="2019"/>
    <s v="N/A"/>
    <s v="N/A"/>
    <m/>
  </r>
  <r>
    <n v="4842"/>
    <x v="6"/>
    <s v="N/A"/>
    <s v="CW-02"/>
    <s v="Clewiston Street Sweeping"/>
    <s v="215 miles swept."/>
    <s v="Street Sweeping"/>
    <x v="2"/>
    <s v="N/A"/>
    <s v="N/A"/>
    <n v="74.096807986236243"/>
    <n v="45.305250127760701"/>
    <s v="East Caloosahatchee"/>
    <s v="N/A"/>
    <s v="N/A"/>
    <s v="N/A"/>
    <s v="City General Fund"/>
    <s v="N/A"/>
    <s v="N/A"/>
    <s v="N/A"/>
    <n v="26.749203000000001"/>
    <n v="-80.934822999999994"/>
    <s v="N/A"/>
    <s v="N"/>
    <s v="Non-structural"/>
    <s v="Underway"/>
    <n v="2019"/>
    <s v="N/A"/>
    <s v="N/A"/>
    <m/>
  </r>
  <r>
    <n v="4843"/>
    <x v="6"/>
    <s v="N/A"/>
    <s v="CW-03"/>
    <s v="Clewiston Inlet Maintenance"/>
    <s v="40 inlets cleaned."/>
    <s v="Catch Basin Inserts/Inlet Filter Cleanout"/>
    <x v="2"/>
    <s v="N/A"/>
    <s v="N/A"/>
    <n v="10.460725833350999"/>
    <n v="6.7118889078163999"/>
    <s v="East Caloosahatchee"/>
    <s v="N/A"/>
    <s v="N/A"/>
    <s v="N/A"/>
    <s v="City General Fund"/>
    <s v="N/A"/>
    <s v="N/A"/>
    <s v="N/A"/>
    <n v="26.749203000000001"/>
    <n v="-80.934822999999994"/>
    <s v="N/A"/>
    <s v="N"/>
    <s v="Non-structural"/>
    <s v="Underway"/>
    <n v="2019"/>
    <s v="N/A"/>
    <s v="N/A"/>
    <m/>
  </r>
  <r>
    <m/>
    <x v="9"/>
    <s v="HUD/ DEO"/>
    <s v="HC-01"/>
    <s v="Four Corners MSBU / County Line Ditch Widening"/>
    <s v="Hendry County residents in the vicinity of the project area experience frequent flooding conditions due to the lack of drainage infrastructure capacity. Improvements will allow the upstream watershed to pass through a system that will reduce nutrient loading prior to discharging into the Caloosahatchee River downstream."/>
    <s v="Retention/Detention BMP Retrofit with Nutrient Reducing Media"/>
    <x v="0"/>
    <s v="2021"/>
    <s v="2022"/>
    <s v="TBD"/>
    <s v="TBD"/>
    <s v="LaBelle, Hendry County"/>
    <s v="TBD"/>
    <s v="TBD"/>
    <s v="TBD"/>
    <s v="DEO"/>
    <s v="$4,297,112"/>
    <s v="N/A"/>
    <s v="N/A"/>
    <s v="26.748338"/>
    <s v="-81.566183"/>
    <s v="Apply for additional state grant funds as necessary"/>
    <s v="Attached PDF"/>
    <s v="Structural"/>
    <m/>
    <n v="2020"/>
    <s v="N/A"/>
    <s v="N/A"/>
    <m/>
  </r>
  <r>
    <m/>
    <x v="9"/>
    <s v="N/A"/>
    <s v="HC-02"/>
    <s v="North LaBelle Water Quality"/>
    <s v="Provide water quality components to treat stormwater along Mohawk Avenue prior to discharging into the Roy Brown Canal and flowing into the Caloosahatchee River."/>
    <s v="Retention/Detention BMP Retrofit with Nutrient Reducing Media"/>
    <x v="0"/>
    <s v="2023"/>
    <s v="2025"/>
    <s v="TBD"/>
    <s v="TBD"/>
    <s v="LaBelle, Hendry County"/>
    <s v="TBD"/>
    <n v="200000"/>
    <s v="TBD"/>
    <s v="North LaBelle Municipal Service Benefit Unit"/>
    <s v="$200,000"/>
    <s v="N/A"/>
    <s v="N/A"/>
    <s v="26.770547"/>
    <s v="-81.454361"/>
    <s v="N/A"/>
    <s v="Attached PDF"/>
    <s v="Structural"/>
    <m/>
    <n v="2020"/>
    <s v="N/A"/>
    <s v="N/A"/>
    <m/>
  </r>
  <r>
    <m/>
    <x v="9"/>
    <s v="DEP/ Port LaBelle Utility System/ City of Clewiston/ Airglades Airport/ Tetra Tech"/>
    <s v="HC-03"/>
    <s v="Phase 1 of a Force Main Extension from Airglades Airport to the City of Clewiston"/>
    <s v="Hendry County plans to construct a force main that will extend from the Airglades Airport to the City of Clewiston. The work consists of constructing a wastewater transmission system to convey raw wastewater from the Airglades Airport WWTP to the City of Clewiston WWTP. The force main will allow the existing Airglades Airport WWTP to be converted to a master pumping station and will transfer wastewater flows to the City of Clewiston’s WWTP."/>
    <s v="WWTF Upgrade"/>
    <x v="3"/>
    <s v="2016"/>
    <s v="2022"/>
    <s v="N/A"/>
    <s v="N/A"/>
    <s v="Clewiston, Hendry County"/>
    <s v="N/A"/>
    <n v="1284529.57"/>
    <s v="N/A"/>
    <s v="DEP"/>
    <s v="$1,075,195"/>
    <s v="LPA0086"/>
    <s v="N/A"/>
    <s v="26.725100"/>
    <s v=" -80.954200"/>
    <s v="Apply for additional state grant funds as necessary"/>
    <s v="Attached PDF"/>
    <s v="Structural"/>
    <m/>
    <n v="2020"/>
    <s v="N/A"/>
    <s v="N/A"/>
    <m/>
  </r>
  <r>
    <n v="5192"/>
    <x v="10"/>
    <s v="DEP/ FDACS"/>
    <s v="DG-01"/>
    <s v="Public Education and Outreach"/>
    <s v="Updates on BMAP and requirements during annual landowner meetings."/>
    <s v="Education Efforts"/>
    <x v="0"/>
    <s v="2020"/>
    <s v="N/A"/>
    <s v="N/A"/>
    <s v="N/A"/>
    <s v="West Caloosahatchee"/>
    <s v="N/A"/>
    <n v="500"/>
    <s v="N/A"/>
    <s v="Devil's Garden WCD"/>
    <s v="$500"/>
    <s v="N/A"/>
    <s v="N/A"/>
    <n v="26.594802999999999"/>
    <n v="-81.232530999999994"/>
    <s v="N/A"/>
    <m/>
    <s v="Non-structural"/>
    <m/>
    <n v="2019"/>
    <s v="N/A"/>
    <s v="N/A"/>
    <m/>
  </r>
  <r>
    <n v="5193"/>
    <x v="10"/>
    <s v="FDACS"/>
    <s v="DG-02"/>
    <s v="FDACS BMP Assistance"/>
    <s v="Provide assistance to FDACS, as needed, to encourage landowners to enroll in BMPs."/>
    <s v="Agricultural BMPs"/>
    <x v="0"/>
    <s v="2020"/>
    <s v="N/A"/>
    <s v="N/A"/>
    <s v="N/A"/>
    <s v="West Caloosahatchee"/>
    <s v="N/A"/>
    <n v="1000"/>
    <s v="N/A"/>
    <s v="Devil's Garden WCD"/>
    <s v="$1,000"/>
    <s v="N/A"/>
    <s v="N/A"/>
    <n v="26.594802999999999"/>
    <n v="-81.232530999999994"/>
    <s v="N/A"/>
    <m/>
    <s v="Non-structural"/>
    <m/>
    <n v="2019"/>
    <s v="N/A"/>
    <s v="N/A"/>
    <m/>
  </r>
  <r>
    <n v="5194"/>
    <x v="10"/>
    <s v="N/A"/>
    <s v="DG-03"/>
    <s v="Nutrient Controls"/>
    <s v="No application of fertilizer in district's rights-of-way."/>
    <s v="Fertilizer Cessation"/>
    <x v="1"/>
    <s v="2020"/>
    <s v="2020"/>
    <s v="N/A"/>
    <s v="N/A"/>
    <s v="West Caloosahatchee"/>
    <s v="N/A"/>
    <n v="0"/>
    <s v="N/A"/>
    <s v="Devil's Garden WCD"/>
    <s v="N/A"/>
    <s v="N/A"/>
    <s v="N/A"/>
    <n v="26.625883000000002"/>
    <n v="-81.236528000000007"/>
    <s v="N/A"/>
    <m/>
    <s v="Non-structural"/>
    <m/>
    <n v="2019"/>
    <s v="N/A"/>
    <s v="N/A"/>
    <m/>
  </r>
  <r>
    <n v="5195"/>
    <x v="10"/>
    <s v="N/A"/>
    <s v="DG-04"/>
    <s v="Canal Cleaning Program"/>
    <s v="Review and field evaluation of sediment accumulation and scheduling of removal, when necessary."/>
    <s v="Muck Removal/Restoration Dredging"/>
    <x v="0"/>
    <s v="2020"/>
    <s v="N/A"/>
    <s v="N/A"/>
    <s v="N/A"/>
    <s v="West Caloosahatchee"/>
    <s v="N/A"/>
    <n v="75000"/>
    <s v="N/A"/>
    <s v="Devil's Garden WCD"/>
    <s v="$75,000"/>
    <s v="N/A"/>
    <s v="N/A"/>
    <n v="26.625883000000002"/>
    <n v="-81.236528000000007"/>
    <s v="N/A"/>
    <m/>
    <s v="Non-structural"/>
    <m/>
    <n v="2019"/>
    <s v="N/A"/>
    <s v="N/A"/>
    <m/>
  </r>
  <r>
    <n v="5196"/>
    <x v="10"/>
    <s v="N/A"/>
    <s v="DG-05"/>
    <s v="Control Structures"/>
    <s v="Annual maintenance of water control structures."/>
    <s v="Control Structure"/>
    <x v="2"/>
    <s v="2021"/>
    <s v="N/A"/>
    <s v="N/A"/>
    <s v="N/A"/>
    <s v="West Caloosahatchee"/>
    <s v="N/A"/>
    <n v="20000"/>
    <s v="N/A"/>
    <s v="Devil's Garden WCD"/>
    <s v="$20,000"/>
    <s v="N/A"/>
    <s v="N/A"/>
    <n v="26.779793999999999"/>
    <n v="-81.233103"/>
    <s v="N/A"/>
    <m/>
    <s v="Structural"/>
    <m/>
    <n v="2019"/>
    <s v="N/A"/>
    <s v="N/A"/>
    <m/>
  </r>
  <r>
    <n v="5197"/>
    <x v="11"/>
    <s v="DEP/ FDACS"/>
    <s v="DI-01"/>
    <s v="Public Education and Outreach"/>
    <s v="Updates on BMAP and requirements during annual landowner meetings."/>
    <s v="Education Efforts"/>
    <x v="0"/>
    <s v="2021"/>
    <s v="N/A"/>
    <s v="N/A"/>
    <s v="N/A"/>
    <s v="East Caloosahatchee"/>
    <s v="N/A"/>
    <n v="500"/>
    <s v="N/A"/>
    <s v="Disston Island Conservancy District"/>
    <s v="$500"/>
    <s v="N/A"/>
    <s v="N/A"/>
    <n v="27.789338999999998"/>
    <n v="-81.032527999999999"/>
    <s v="N/A"/>
    <m/>
    <s v="Non-structural"/>
    <m/>
    <n v="2019"/>
    <s v="N/A"/>
    <s v="N/A"/>
    <m/>
  </r>
  <r>
    <n v="5198"/>
    <x v="11"/>
    <s v="FDACS"/>
    <s v="DI-02"/>
    <s v="FDACS BMP Assistance"/>
    <s v="Provide assistance to FDACS, as needed, to encourage landowners to enroll in BMPs."/>
    <s v="Agricultural BMPs"/>
    <x v="0"/>
    <s v="2020"/>
    <s v="N/A"/>
    <s v="N/A"/>
    <s v="N/A"/>
    <s v="East Caloosahatchee"/>
    <s v="N/A"/>
    <n v="1000"/>
    <s v="N/A"/>
    <s v="Disston Island Conservancy District"/>
    <s v="$1,000"/>
    <s v="N/A"/>
    <s v="N/A"/>
    <n v="27.789338999999998"/>
    <n v="-81.032527999999999"/>
    <s v="N/A"/>
    <m/>
    <s v="Non-structural"/>
    <m/>
    <n v="2019"/>
    <s v="N/A"/>
    <s v="N/A"/>
    <m/>
  </r>
  <r>
    <n v="5199"/>
    <x v="11"/>
    <s v="N/A"/>
    <s v="DI-03"/>
    <s v="Nutrient Controls"/>
    <s v="No application of fertilizer in district's rights-of-way."/>
    <s v="Fertilizer Cessation"/>
    <x v="1"/>
    <s v="2020"/>
    <s v="2020"/>
    <s v="N/A"/>
    <s v="N/A"/>
    <s v="East Caloosahatchee"/>
    <s v="N/A"/>
    <n v="0"/>
    <s v="N/A"/>
    <s v="Disston Island Conservancy District"/>
    <s v="N/A"/>
    <s v="N/A"/>
    <s v="N/A"/>
    <n v="26.791571999999999"/>
    <n v="-81.027574999999999"/>
    <s v="N/A"/>
    <m/>
    <s v="Non-structural"/>
    <m/>
    <n v="2019"/>
    <s v="N/A"/>
    <s v="N/A"/>
    <m/>
  </r>
  <r>
    <n v="5200"/>
    <x v="11"/>
    <s v="N/A"/>
    <s v="DI-04"/>
    <s v="Slow Velocity in the Main Canal"/>
    <s v="Minimize sediment transport by slowing velocity in main canal near main discharge structure."/>
    <s v="Control Structure"/>
    <x v="0"/>
    <s v="2021"/>
    <s v="TBD"/>
    <s v="N/A"/>
    <s v="N/A"/>
    <s v="East Caloosahatchee"/>
    <s v="N/A"/>
    <s v="TBD"/>
    <s v="N/A"/>
    <s v="Disston Island Conservancy District"/>
    <s v="TBD"/>
    <s v="N/A"/>
    <s v="N/A"/>
    <n v="26.784144000000001"/>
    <n v="-81.037333000000004"/>
    <s v="N/A"/>
    <m/>
    <s v="Structural"/>
    <m/>
    <n v="2019"/>
    <s v="N/A"/>
    <s v="N/A"/>
    <m/>
  </r>
  <r>
    <n v="5201"/>
    <x v="11"/>
    <s v="N/A"/>
    <s v="DI-05"/>
    <s v="Control Structures"/>
    <s v="Annual maintenance of water control structures."/>
    <s v="Control Structure"/>
    <x v="2"/>
    <s v="2021"/>
    <s v="N/A"/>
    <s v="N/A"/>
    <s v="N/A"/>
    <s v="East Caloosahatchee"/>
    <s v="N/A"/>
    <s v="TBD"/>
    <s v="N/A"/>
    <s v="Disston Island Conservancy District"/>
    <s v="TBD"/>
    <s v="N/A"/>
    <s v="N/A"/>
    <n v="26.806014000000001"/>
    <n v="-81.029964000000007"/>
    <s v="N/A"/>
    <m/>
    <s v="Structural"/>
    <m/>
    <n v="2019"/>
    <s v="N/A"/>
    <s v="N/A"/>
    <m/>
  </r>
  <r>
    <n v="2345"/>
    <x v="12"/>
    <s v="Agricultural Producers"/>
    <s v="FDACS-01"/>
    <s v="BMP Implementation and Verification"/>
    <s v="Enrollment and verification of BMPs by agricultural producers. Attenuated reductions based on HSPF model. Acres treated based on FDACS OAWP December 2020 Enrollment and FSAID VII."/>
    <s v="Agricultural BMPs"/>
    <x v="2"/>
    <s v="N/A"/>
    <s v="N/A"/>
    <n v="62208"/>
    <n v="2295"/>
    <s v="Tidal Caloosahatchee"/>
    <n v="49057.663228099998"/>
    <s v="N/A"/>
    <s v="N/A"/>
    <s v="FDACS"/>
    <s v="TBD"/>
    <s v="N/A"/>
    <s v="N/A"/>
    <s v="N/A"/>
    <s v="N/A"/>
    <s v="N/A"/>
    <s v="Y"/>
    <s v="Non-structural"/>
    <s v="Ongoing"/>
    <n v="2012"/>
    <s v="N/A"/>
    <s v="N/A"/>
    <m/>
  </r>
  <r>
    <n v="4844"/>
    <x v="12"/>
    <s v="Agricultural Producers"/>
    <s v="FDACS-02"/>
    <s v="BMP Implementation and Verification"/>
    <s v="Enrollment and verification of BMPs by agricultural producers. Attenuated reductions based on HSPF model. Acres treated based on FDACS OAWP December 2020 Enrollment and FSAID VII."/>
    <s v="Agricultural BMPs"/>
    <x v="2"/>
    <s v="N/A"/>
    <s v="N/A"/>
    <n v="178228"/>
    <n v="10123"/>
    <s v="West Caloosahatchee"/>
    <n v="149388.42381099999"/>
    <s v="N/A"/>
    <s v="N/A"/>
    <s v="FDACS"/>
    <s v="TBD"/>
    <s v="N/A"/>
    <s v="N/A"/>
    <s v="N/A"/>
    <s v="N/A"/>
    <s v="N/A"/>
    <s v="Y"/>
    <s v="Non-structural"/>
    <s v="Completed"/>
    <n v="2019"/>
    <s v="N/A"/>
    <s v="N/A"/>
    <m/>
  </r>
  <r>
    <n v="4845"/>
    <x v="12"/>
    <s v="Agricultural Producers"/>
    <s v="FDACS-03"/>
    <s v="BMP Implementation and Verification"/>
    <s v="Enrollment and verification of BMPs by agricultural producers. Attenuated reductions based on HSPF model. Acres treated based on FDACS OAWP December 2020 Enrollment and FSAID VII."/>
    <s v="Agricultural BMPs"/>
    <x v="2"/>
    <s v="N/A"/>
    <s v="N/A"/>
    <n v="119099"/>
    <n v="5298"/>
    <s v="East Caloosahatchee"/>
    <n v="180103.99406999999"/>
    <s v="N/A"/>
    <s v="N/A"/>
    <s v="FDACS"/>
    <s v="TBD"/>
    <s v="N/A"/>
    <s v="N/A"/>
    <s v="N/A"/>
    <s v="N/A"/>
    <s v="N/A"/>
    <s v="Y"/>
    <s v="Non-structural"/>
    <s v="Completed"/>
    <n v="2019"/>
    <s v="N/A"/>
    <s v="N/A"/>
    <m/>
  </r>
  <r>
    <n v="4846"/>
    <x v="12"/>
    <s v="Agricultural Producers"/>
    <s v="FDACS-04"/>
    <s v="Cost-Share BMP Projects"/>
    <s v="Cost-share projects paid for by FDACS. Acres treated based on FDACS OAWP June 2020 Enrollment. Reductions estimated by DEP using 2020 BMAP LET."/>
    <s v="Agricultural BMPs"/>
    <x v="2"/>
    <s v="Not provided"/>
    <s v="N/A"/>
    <n v="20202.717250264785"/>
    <n v="1254.9082908748187"/>
    <s v="Tidal Caloosahatchee"/>
    <n v="7107"/>
    <s v="TBD"/>
    <s v="TBD"/>
    <s v="TBD"/>
    <s v="TBD"/>
    <s v="N/A"/>
    <s v="N/A"/>
    <s v="N/A"/>
    <s v="N/A"/>
    <s v="N/A"/>
    <s v="Y"/>
    <s v="Non-structural"/>
    <s v="Completed"/>
    <n v="2019"/>
    <s v="N/A"/>
    <s v="N/A"/>
    <m/>
  </r>
  <r>
    <n v="4847"/>
    <x v="12"/>
    <s v="Agricultural Producers"/>
    <s v="FDACS-05"/>
    <s v="Cost-Share BMP Projects"/>
    <s v="Cost-share projects paid for by FDACS. Acres treated based on FDACS OAWP June 2020 Enrollment. Reductions estimated by DEP using 2020 BMAP LET."/>
    <s v="Agricultural BMPs"/>
    <x v="2"/>
    <s v="Not provided"/>
    <s v="N/A"/>
    <n v="26873.408849600462"/>
    <n v="1556.1792481877096"/>
    <s v="West Caloosahatchee"/>
    <n v="19341"/>
    <s v="TBD"/>
    <s v="TBD"/>
    <s v="TBD"/>
    <s v="TBD"/>
    <s v="N/A"/>
    <s v="N/A"/>
    <s v="N/A"/>
    <s v="N/A"/>
    <s v="N/A"/>
    <s v="Y"/>
    <s v="Non-structural"/>
    <s v="Completed"/>
    <n v="2019"/>
    <s v="N/A"/>
    <s v="N/A"/>
    <m/>
  </r>
  <r>
    <n v="4848"/>
    <x v="12"/>
    <s v="Agricultural Producers"/>
    <s v="FDACS-06"/>
    <s v="Cost-Share BMP Projects"/>
    <s v="Cost-share projects paid for by FDACS. Acres treated based on FDACS OAWP June 2020 Enrollment. Reductions estimated by DEP using 2020 BMAP LET."/>
    <s v="Agricultural BMPs"/>
    <x v="2"/>
    <s v="Not provided"/>
    <s v="N/A"/>
    <n v="18469.933197654587"/>
    <n v="1069.4887192161029"/>
    <s v="East Caloosahatchee"/>
    <n v="26005"/>
    <s v="TBD"/>
    <s v="TBD"/>
    <s v="TBD"/>
    <s v="TBD"/>
    <s v="N/A"/>
    <s v="N/A"/>
    <s v="N/A"/>
    <s v="N/A"/>
    <s v="N/A"/>
    <s v="Y"/>
    <s v="Non-structural"/>
    <s v="Completed"/>
    <n v="2019"/>
    <s v="N/A"/>
    <s v="N/A"/>
    <m/>
  </r>
  <r>
    <n v="2386"/>
    <x v="13"/>
    <s v="N/A"/>
    <s v="FDOT-01"/>
    <s v="Existing Stormwater Dry Ponds"/>
    <s v="Dry detention pond; Facility ID = 12010-3505-01."/>
    <s v="Dry Detention Pond"/>
    <x v="1"/>
    <s v="1997"/>
    <s v="Prior to 2012"/>
    <n v="30.788114170129472"/>
    <s v="TBD"/>
    <s v="Tidal Caloosahatchee"/>
    <n v="2"/>
    <s v="Not provided"/>
    <s v="Not provided"/>
    <s v="Florida Legislature"/>
    <s v="Not provided"/>
    <s v="N/A"/>
    <s v="N/A"/>
    <n v="26.711926245000001"/>
    <n v="-81.901818973999994"/>
    <s v="N/A"/>
    <m/>
    <s v="Structural"/>
    <s v="Completed"/>
    <n v="2012"/>
    <n v="15.181724239999999"/>
    <s v="N/A"/>
    <m/>
  </r>
  <r>
    <n v="2384"/>
    <x v="13"/>
    <s v="N/A"/>
    <s v="FDOT-02"/>
    <s v="Existing Stormwater Dry Ponds"/>
    <s v="Dry detention pond; Facility ID = 12060-3530-01."/>
    <s v="Dry Detention Pond"/>
    <x v="1"/>
    <s v="1996"/>
    <s v="Prior to 2012"/>
    <n v="3.73189262668236"/>
    <s v="TBD"/>
    <s v="Tidal Caloosahatchee"/>
    <n v="2"/>
    <s v="Not provided"/>
    <s v="Not provided"/>
    <s v="Florida Legislature"/>
    <s v="Not provided"/>
    <s v="N/A"/>
    <s v="N/A"/>
    <n v="26.681941407"/>
    <n v="-81.903253814999999"/>
    <s v="N/A"/>
    <m/>
    <s v="Structural"/>
    <s v="Completed"/>
    <n v="2012"/>
    <n v="1.7100418399999999"/>
    <s v="N/A"/>
    <m/>
  </r>
  <r>
    <n v="2343"/>
    <x v="13"/>
    <s v="N/A"/>
    <s v="FDOT-03"/>
    <s v="Existing Stormwater Dry Ponds"/>
    <s v="Dry detention pond; Facility ID = 12060-3530-02."/>
    <s v="Dry Detention Pond"/>
    <x v="1"/>
    <s v="1996"/>
    <s v="Prior to 2012"/>
    <n v="3.73189262668236"/>
    <s v="TBD"/>
    <s v="Tidal Caloosahatchee"/>
    <n v="2"/>
    <s v="Not provided"/>
    <s v="Not provided"/>
    <s v="Florida Legislature"/>
    <s v="Not provided"/>
    <s v="N/A"/>
    <s v="N/A"/>
    <n v="26.681789792"/>
    <n v="-81.901230369000004"/>
    <s v="N/A"/>
    <m/>
    <s v="Structural"/>
    <s v="Ongoing"/>
    <n v="2012"/>
    <n v="1.8778708799999999"/>
    <s v="N/A"/>
    <m/>
  </r>
  <r>
    <n v="2364"/>
    <x v="13"/>
    <s v="N/A"/>
    <s v="FDOT-04"/>
    <s v="Discontinue Fertilization"/>
    <s v="No longer fertilizing rights-of-way in watershed."/>
    <s v="Fertilizer Cessation"/>
    <x v="1"/>
    <s v="2005"/>
    <s v="2005"/>
    <n v="1810.9008970976151"/>
    <n v="453.83971559779275"/>
    <s v="Tidal Caloosahatchee"/>
    <n v="465"/>
    <s v="Not provided"/>
    <s v="Not provided"/>
    <s v="Florida Legislature"/>
    <s v="Not provided"/>
    <s v="N/A"/>
    <s v="N/A"/>
    <s v="N/A"/>
    <s v="N/A"/>
    <s v="N/A"/>
    <m/>
    <s v="Non-structural"/>
    <s v="Ongoing"/>
    <n v="2012"/>
    <n v="880.42207199999996"/>
    <s v="N/A"/>
    <m/>
  </r>
  <r>
    <n v="2362"/>
    <x v="13"/>
    <s v="N/A"/>
    <s v="FDOT-05"/>
    <s v="Education Efforts"/>
    <s v="Pamphlets, PSAs, illicit discharge program."/>
    <s v="Education Efforts"/>
    <x v="2"/>
    <s v="2005"/>
    <s v="N/A"/>
    <n v="252.90699958457918"/>
    <n v="53.670550967361258"/>
    <s v="Tidal Caloosahatchee"/>
    <s v="N/A"/>
    <s v="Not provided"/>
    <s v="Not provided"/>
    <s v="Florida Legislature"/>
    <s v="Not provided"/>
    <s v="N/A"/>
    <s v="N/A"/>
    <s v="N/A"/>
    <s v="N/A"/>
    <s v="N/A"/>
    <m/>
    <s v="Non-structural"/>
    <s v="Completed"/>
    <n v="2012"/>
    <n v="105.233344"/>
    <s v="N/A"/>
    <m/>
  </r>
  <r>
    <n v="2360"/>
    <x v="13"/>
    <s v="N/A"/>
    <s v="FDOT-06"/>
    <s v="Street Sweeping"/>
    <s v="Street sweeping."/>
    <s v="Street Sweeping"/>
    <x v="2"/>
    <s v="2002"/>
    <s v="N/A"/>
    <n v="473.01739043198916"/>
    <n v="346.22823664161507"/>
    <s v="Tidal Caloosahatchee"/>
    <s v="N/A"/>
    <s v="Not provided"/>
    <s v="Not provided"/>
    <s v="Florida Legislature"/>
    <s v="Not provided"/>
    <s v="N/A"/>
    <s v="N/A"/>
    <s v="N/A"/>
    <s v="N/A"/>
    <s v="N/A"/>
    <m/>
    <s v="Non-structural"/>
    <s v="Completed"/>
    <n v="2012"/>
    <n v="598.74192840000001"/>
    <s v="N/A"/>
    <m/>
  </r>
  <r>
    <n v="2358"/>
    <x v="13"/>
    <s v="N/A"/>
    <s v="FDOT-07"/>
    <s v="Ditch Blocked Swales"/>
    <s v="Swales with ditch blocks. Facility ID = 12020-3538-02."/>
    <s v="Grass Swales with Swale Blocks or Raised Culverts"/>
    <x v="1"/>
    <s v="1990"/>
    <s v="Prior to 2012"/>
    <n v="273.36113490448287"/>
    <s v="TBD"/>
    <s v="Tidal Caloosahatchee"/>
    <n v="56"/>
    <s v="Not provided"/>
    <s v="Not provided"/>
    <s v="Florida Legislature"/>
    <s v="Not provided"/>
    <s v="N/A"/>
    <s v="N/A"/>
    <n v="26.689021"/>
    <n v="-81.790369999999996"/>
    <s v="N/A"/>
    <m/>
    <s v="Structural"/>
    <s v="Completed"/>
    <n v="2012"/>
    <n v="132.77545024"/>
    <s v="N/A"/>
    <m/>
  </r>
  <r>
    <n v="2280"/>
    <x v="13"/>
    <s v="N/A"/>
    <s v="FDOT-08"/>
    <s v="Ditch Blocked Swales"/>
    <s v="Swales with ditch blocks. Facility ID = 12020-3541-01."/>
    <s v="Grass Swales with Swale Blocks or Raised Culverts"/>
    <x v="1"/>
    <s v="1989"/>
    <s v="Prior to 2012"/>
    <n v="179.13084608075329"/>
    <s v="TBD"/>
    <s v="Tidal Caloosahatchee"/>
    <n v="55"/>
    <s v="Not provided"/>
    <s v="Not provided"/>
    <s v="Florida Legislature"/>
    <s v="Not provided"/>
    <s v="N/A"/>
    <s v="N/A"/>
    <n v="26.710180999999999"/>
    <n v="-81.719172"/>
    <s v="N/A"/>
    <m/>
    <s v="Structural"/>
    <s v="Completed"/>
    <n v="2012"/>
    <n v="87.284708559999999"/>
    <s v="N/A"/>
    <m/>
  </r>
  <r>
    <n v="2281"/>
    <x v="13"/>
    <s v="N/A"/>
    <s v="FDOT-09"/>
    <s v="Ditch Blocked Swales"/>
    <s v="Swales with ditch blocks."/>
    <s v="Grass Swales with Swale Blocks or Raised Culverts"/>
    <x v="1"/>
    <s v="N/A"/>
    <s v="Prior to 2012"/>
    <n v="318.14384642467121"/>
    <s v="TBD"/>
    <s v="Tidal Caloosahatchee"/>
    <n v="55"/>
    <s v="Not provided"/>
    <s v="Not provided"/>
    <s v="Florida Legislature"/>
    <s v="Not provided"/>
    <s v="N/A"/>
    <s v="N/A"/>
    <s v="N/A"/>
    <s v="N/A"/>
    <s v="N/A"/>
    <m/>
    <s v="Structural"/>
    <m/>
    <n v="2012"/>
    <n v="154.61136912000001"/>
    <s v="N/A"/>
    <m/>
  </r>
  <r>
    <n v="2303"/>
    <x v="13"/>
    <s v="N/A"/>
    <s v="FDOT-10"/>
    <s v="Swales without Ditch Blocks"/>
    <s v="Swales without blocks."/>
    <s v="Grass Swales without Swale Blocks or Raised Culverts"/>
    <x v="1"/>
    <s v="N/A"/>
    <s v="Prior to 2012"/>
    <n v="4617.2841523627503"/>
    <s v="TBD"/>
    <s v="Tidal Caloosahatchee"/>
    <n v="1353"/>
    <s v="Not provided"/>
    <s v="Not provided"/>
    <s v="Florida Legislature"/>
    <s v="Not provided"/>
    <s v="N/A"/>
    <s v="N/A"/>
    <s v="N/A"/>
    <s v="N/A"/>
    <s v="N/A"/>
    <m/>
    <s v="Structural"/>
    <m/>
    <n v="2012"/>
    <n v="2244.8268079999998"/>
    <s v="N/A"/>
    <m/>
  </r>
  <r>
    <n v="2317"/>
    <x v="13"/>
    <s v="N/A"/>
    <s v="FDOT-11"/>
    <s v="Existing Stormwater Wet Ponds"/>
    <s v="F12001-3516-01."/>
    <s v="Wet Detention Pond"/>
    <x v="1"/>
    <s v="1995"/>
    <s v="Prior to 2012"/>
    <n v="224.84653075761219"/>
    <s v="TBD"/>
    <s v="Tidal Caloosahatchee"/>
    <n v="14.090909090909092"/>
    <s v="Not provided"/>
    <s v="Not provided"/>
    <s v="Florida Legislature"/>
    <s v="Not provided"/>
    <s v="N/A"/>
    <s v="N/A"/>
    <n v="26.671697717000001"/>
    <n v="-81.880446504999995"/>
    <s v="N/A"/>
    <m/>
    <s v="Structural"/>
    <m/>
    <n v="2012"/>
    <n v="9.919044892561983"/>
    <s v="N/A"/>
    <m/>
  </r>
  <r>
    <n v="2305"/>
    <x v="13"/>
    <s v="N/A"/>
    <s v="FDOT-12"/>
    <s v="Existing Stormwater Wet Ponds"/>
    <s v="F12001-3516-02."/>
    <s v="Wet Detention Pond"/>
    <x v="1"/>
    <s v="1995"/>
    <s v="Prior to 2012"/>
    <n v="224.84653075761219"/>
    <s v="TBD"/>
    <s v="Tidal Caloosahatchee"/>
    <n v="14.090909090909092"/>
    <s v="Not provided"/>
    <s v="Not provided"/>
    <s v="Florida Legislature"/>
    <s v="Not provided"/>
    <s v="N/A"/>
    <s v="N/A"/>
    <n v="26.673893198999998"/>
    <n v="-81.881785058999995"/>
    <s v="N/A"/>
    <m/>
    <s v="Structural"/>
    <m/>
    <n v="2012"/>
    <n v="9.919044892561983"/>
    <s v="N/A"/>
    <m/>
  </r>
  <r>
    <n v="2294"/>
    <x v="13"/>
    <s v="N/A"/>
    <s v="FDOT-13"/>
    <s v="Existing Stormwater Wet Ponds"/>
    <s v="F12040-3514-01."/>
    <s v="Wet Detention Pond"/>
    <x v="1"/>
    <s v="2002"/>
    <s v="Prior to 2012"/>
    <n v="224.84653075761219"/>
    <s v="TBD"/>
    <s v="Tidal Caloosahatchee"/>
    <n v="14.090909090909092"/>
    <s v="Not provided"/>
    <s v="Not provided"/>
    <s v="Florida Legislature"/>
    <s v="Not provided"/>
    <s v="N/A"/>
    <s v="N/A"/>
    <n v="26.543035991"/>
    <n v="-81.915922687999995"/>
    <s v="N/A"/>
    <m/>
    <s v="Structural"/>
    <m/>
    <n v="2012"/>
    <n v="9.919044892561983"/>
    <s v="N/A"/>
    <m/>
  </r>
  <r>
    <n v="2307"/>
    <x v="13"/>
    <s v="N/A"/>
    <s v="FDOT-14"/>
    <s v="Existing Stormwater Wet Ponds"/>
    <s v="F12040-3515-01."/>
    <s v="Wet Detention Pond"/>
    <x v="1"/>
    <s v="2002"/>
    <s v="Prior to 2012"/>
    <n v="224.84653075761219"/>
    <s v="TBD"/>
    <s v="Tidal Caloosahatchee"/>
    <n v="14.090909090909092"/>
    <s v="Not provided"/>
    <s v="Not provided"/>
    <s v="Florida Legislature"/>
    <s v="Not provided"/>
    <s v="N/A"/>
    <s v="N/A"/>
    <n v="26.517719459999999"/>
    <n v="-81.939988489000001"/>
    <s v="N/A"/>
    <m/>
    <s v="Structural"/>
    <m/>
    <n v="2012"/>
    <n v="9.919044892561983"/>
    <s v="N/A"/>
    <m/>
  </r>
  <r>
    <n v="2308"/>
    <x v="13"/>
    <s v="N/A"/>
    <s v="FDOT-15"/>
    <s v="Existing Stormwater Wet Ponds"/>
    <s v="F12040-3515-02."/>
    <s v="Wet Detention Pond"/>
    <x v="1"/>
    <s v="2002"/>
    <s v="Prior to 2012"/>
    <n v="224.84653075761219"/>
    <s v="TBD"/>
    <s v="Tidal Caloosahatchee"/>
    <n v="14.090909090909092"/>
    <s v="Not provided"/>
    <s v="Not provided"/>
    <s v="Florida Legislature"/>
    <s v="Not provided"/>
    <s v="N/A"/>
    <s v="N/A"/>
    <n v="26.525744062000001"/>
    <n v="-81.935121139000003"/>
    <s v="N/A"/>
    <m/>
    <s v="Structural"/>
    <m/>
    <n v="2012"/>
    <n v="9.919044892561983"/>
    <s v="N/A"/>
    <m/>
  </r>
  <r>
    <n v="2309"/>
    <x v="13"/>
    <s v="N/A"/>
    <s v="FDOT-16"/>
    <s v="Existing Stormwater Wet Ponds"/>
    <s v="F12040-3515-03."/>
    <s v="Wet Detention Pond"/>
    <x v="1"/>
    <s v="2002"/>
    <s v="Prior to 2012"/>
    <n v="224.84653075761219"/>
    <s v="TBD"/>
    <s v="Tidal Caloosahatchee"/>
    <n v="14.090909090909092"/>
    <s v="Not provided"/>
    <s v="Not provided"/>
    <s v="Florida Legislature"/>
    <s v="Not provided"/>
    <s v="N/A"/>
    <s v="N/A"/>
    <n v="26.536900395"/>
    <n v="-81.920548275000002"/>
    <s v="N/A"/>
    <m/>
    <s v="Structural"/>
    <m/>
    <n v="2012"/>
    <n v="9.919044892561983"/>
    <s v="N/A"/>
    <m/>
  </r>
  <r>
    <n v="2310"/>
    <x v="13"/>
    <s v="N/A"/>
    <s v="FDOT-17"/>
    <s v="Existing Stormwater Wet Ponds"/>
    <s v="F12040-3515-04."/>
    <s v="Wet Detention Pond"/>
    <x v="1"/>
    <s v="2002"/>
    <s v="Prior to 2012"/>
    <n v="224.84653075761219"/>
    <s v="TBD"/>
    <s v="Tidal Caloosahatchee"/>
    <n v="14.090909090909092"/>
    <s v="Not provided"/>
    <s v="Not provided"/>
    <s v="Florida Legislature"/>
    <s v="Not provided"/>
    <s v="N/A"/>
    <s v="N/A"/>
    <n v="26.539337527000001"/>
    <n v="-81.917593338000003"/>
    <s v="N/A"/>
    <m/>
    <s v="Structural"/>
    <m/>
    <n v="2012"/>
    <n v="9.919044892561983"/>
    <s v="N/A"/>
    <m/>
  </r>
  <r>
    <n v="2311"/>
    <x v="13"/>
    <s v="N/A"/>
    <s v="FDOT-18"/>
    <s v="Existing Stormwater Wet Ponds"/>
    <s v="F12060-3530-03."/>
    <s v="Wet Detention Pond"/>
    <x v="1"/>
    <s v="1996"/>
    <s v="Prior to 2012"/>
    <n v="224.84653075761219"/>
    <s v="TBD"/>
    <s v="Tidal Caloosahatchee"/>
    <n v="14.090909090909092"/>
    <s v="Not provided"/>
    <s v="Not provided"/>
    <s v="Florida Legislature"/>
    <s v="Not provided"/>
    <s v="N/A"/>
    <s v="N/A"/>
    <n v="26.681556330999999"/>
    <n v="-81.896776259999996"/>
    <s v="N/A"/>
    <m/>
    <s v="Structural"/>
    <m/>
    <n v="2012"/>
    <n v="9.919044892561983"/>
    <s v="N/A"/>
    <m/>
  </r>
  <r>
    <n v="2312"/>
    <x v="13"/>
    <s v="N/A"/>
    <s v="FDOT-19"/>
    <s v="Existing Stormwater Wet Ponds"/>
    <s v="F12060-3533-01."/>
    <s v="Wet Detention Pond"/>
    <x v="1"/>
    <s v="2002"/>
    <s v="Prior to 2012"/>
    <n v="224.84653075761219"/>
    <s v="TBD"/>
    <s v="Tidal Caloosahatchee"/>
    <n v="14.090909090909092"/>
    <s v="Not provided"/>
    <s v="Not provided"/>
    <s v="Florida Legislature"/>
    <s v="Not provided"/>
    <s v="N/A"/>
    <s v="N/A"/>
    <n v="26.689441000999999"/>
    <n v="-81.860182258999998"/>
    <s v="N/A"/>
    <m/>
    <s v="Structural"/>
    <m/>
    <n v="2012"/>
    <n v="9.919044892561983"/>
    <s v="N/A"/>
    <m/>
  </r>
  <r>
    <n v="2313"/>
    <x v="13"/>
    <s v="N/A"/>
    <s v="FDOT-20"/>
    <s v="Existing Stormwater Wet Ponds"/>
    <s v="F12060-3533-02."/>
    <s v="Wet Detention Pond"/>
    <x v="1"/>
    <s v="2002"/>
    <s v="Prior to 2012"/>
    <n v="224.84653075761219"/>
    <s v="TBD"/>
    <s v="Tidal Caloosahatchee"/>
    <n v="14.090909090909092"/>
    <s v="Not provided"/>
    <s v="Not provided"/>
    <s v="Florida Legislature"/>
    <s v="Not provided"/>
    <s v="N/A"/>
    <s v="N/A"/>
    <n v="26.695392183999999"/>
    <n v="-81.854999487000001"/>
    <s v="N/A"/>
    <m/>
    <s v="Structural"/>
    <m/>
    <n v="2012"/>
    <n v="9.919044892561983"/>
    <s v="N/A"/>
    <m/>
  </r>
  <r>
    <n v="2314"/>
    <x v="13"/>
    <s v="N/A"/>
    <s v="FDOT-21"/>
    <s v="Existing Stormwater Wet Ponds"/>
    <s v="F12060-3533-03."/>
    <s v="Wet Detention Pond"/>
    <x v="1"/>
    <s v="2002"/>
    <s v="Prior to 2012"/>
    <n v="224.84653075761219"/>
    <s v="TBD"/>
    <s v="Tidal Caloosahatchee"/>
    <n v="14.090909090909092"/>
    <s v="Not provided"/>
    <s v="Not provided"/>
    <s v="Florida Legislature"/>
    <s v="Not provided"/>
    <s v="N/A"/>
    <s v="N/A"/>
    <n v="26.697306871999999"/>
    <n v="-81.849894698"/>
    <s v="N/A"/>
    <m/>
    <s v="Structural"/>
    <m/>
    <n v="2012"/>
    <n v="9.919044892561983"/>
    <s v="N/A"/>
    <m/>
  </r>
  <r>
    <n v="2315"/>
    <x v="13"/>
    <s v="N/A"/>
    <s v="FDOT-22"/>
    <s v="State Road (SR) 78 Project"/>
    <s v="Wet detention pond. FM195705-1, Pond SMF 1A."/>
    <s v="Wet Detention Pond"/>
    <x v="1"/>
    <s v="2009"/>
    <s v="Prior to 2012"/>
    <n v="35.651003505985756"/>
    <n v="10.49469663351112"/>
    <s v="Tidal Caloosahatchee"/>
    <n v="20"/>
    <s v="Not provided"/>
    <s v="Not provided"/>
    <s v="Florida Legislature"/>
    <s v="Not provided"/>
    <s v="N/A"/>
    <s v="N/A"/>
    <n v="26.701329999999999"/>
    <n v="-81.846770000000006"/>
    <s v="N/A"/>
    <m/>
    <s v="Structural"/>
    <m/>
    <n v="2012"/>
    <n v="17.327214400000003"/>
    <s v="N/A"/>
    <m/>
  </r>
  <r>
    <n v="2316"/>
    <x v="13"/>
    <s v="N/A"/>
    <s v="FDOT-23"/>
    <s v="State Road (SR) 78 Project"/>
    <s v="Wet detention pond. FM195705-1, Pond SMF 1D."/>
    <s v="Wet Detention Pond"/>
    <x v="1"/>
    <s v="2009"/>
    <s v="Prior to 2012"/>
    <n v="43.810534831474435"/>
    <n v="12.055807936960472"/>
    <s v="Tidal Caloosahatchee"/>
    <n v="20"/>
    <s v="Not provided"/>
    <s v="Not provided"/>
    <s v="Florida Legislature"/>
    <s v="Not provided"/>
    <s v="N/A"/>
    <s v="N/A"/>
    <n v="26.703869439999998"/>
    <n v="-81.847222220000006"/>
    <s v="N/A"/>
    <m/>
    <s v="Structural"/>
    <m/>
    <n v="2012"/>
    <n v="21.318823999999999"/>
    <s v="N/A"/>
    <m/>
  </r>
  <r>
    <n v="2295"/>
    <x v="13"/>
    <s v="N/A"/>
    <s v="FDOT-24"/>
    <s v="State Road (SR) 78 Project"/>
    <s v="Wet detention pond. FM195705-1, Pond SMF 2B."/>
    <s v="Wet Detention Pond"/>
    <x v="1"/>
    <s v="2009"/>
    <s v="Prior to 2012"/>
    <n v="66.746317747412149"/>
    <n v="18.070019982309514"/>
    <s v="Tidal Caloosahatchee"/>
    <n v="20"/>
    <s v="Not provided"/>
    <s v="Not provided"/>
    <s v="Florida Legislature"/>
    <s v="Not provided"/>
    <s v="N/A"/>
    <s v="N/A"/>
    <n v="26.70881"/>
    <n v="-81.837280000000007"/>
    <s v="N/A"/>
    <m/>
    <s v="Structural"/>
    <m/>
    <n v="2012"/>
    <n v="32.422756159999999"/>
    <s v="N/A"/>
    <m/>
  </r>
  <r>
    <n v="2359"/>
    <x v="13"/>
    <s v="N/A"/>
    <s v="FDOT-25"/>
    <s v="State Road (SR) 78 Project"/>
    <s v="Wet detention pond. FM195705-1, Pond SMF 4C."/>
    <s v="Wet Detention Pond"/>
    <x v="1"/>
    <s v="2009"/>
    <s v="Prior to 2012"/>
    <n v="100.52890256119154"/>
    <n v="27.222838529015942"/>
    <s v="Tidal Caloosahatchee"/>
    <n v="20"/>
    <s v="Not provided"/>
    <s v="Not provided"/>
    <s v="Florida Legislature"/>
    <s v="Not provided"/>
    <s v="N/A"/>
    <s v="N/A"/>
    <n v="26.71228"/>
    <n v="-81.826790000000003"/>
    <s v="N/A"/>
    <m/>
    <s v="Structural"/>
    <m/>
    <n v="2012"/>
    <n v="48.829178800000001"/>
    <s v="N/A"/>
    <m/>
  </r>
  <r>
    <n v="4367"/>
    <x v="13"/>
    <s v="N/A"/>
    <s v="FDOT-26"/>
    <s v="SR 82 from Lee Blvd to Shawnee Road"/>
    <s v="Funding Partnership with LAMSID (formerly known as [fka] ECWCD) for SW Weirs Project."/>
    <s v="Control Structure"/>
    <x v="1"/>
    <s v="Not provided"/>
    <s v="2017"/>
    <s v="N/A"/>
    <s v="N/A"/>
    <s v="Tidal Caloosahatchee"/>
    <s v="Not provided"/>
    <s v="Not provided"/>
    <s v="Not provided"/>
    <s v="FDOT/ DEP/ LA-MSID"/>
    <s v="Not provided"/>
    <s v="N/A"/>
    <s v="N/A"/>
    <n v="26.58864573"/>
    <n v="-81.729498280000001"/>
    <s v="N/A"/>
    <m/>
    <s v="Structural"/>
    <s v="Completed"/>
    <n v="2018"/>
    <s v="Not provided"/>
    <s v="Not provided"/>
    <m/>
  </r>
  <r>
    <n v="4368"/>
    <x v="13"/>
    <s v="N/A"/>
    <s v="FDOT-27"/>
    <s v="SR 82 from Lee Blvd to Shawnee Road"/>
    <s v="Funding Partnership with LAMSID (fka ECWCD) for West Marsh Preserve."/>
    <s v="Stormwater Treatment Areas (STAs)"/>
    <x v="3"/>
    <s v="2017"/>
    <s v="2020"/>
    <s v="N/A"/>
    <s v="N/A"/>
    <s v="Tidal Caloosahatchee"/>
    <s v="Not provided"/>
    <s v="Not provided"/>
    <s v="Not provided"/>
    <s v="FDOT/ DEP/ LA-MSID"/>
    <s v="Not provided"/>
    <s v="N/A"/>
    <s v="N/A"/>
    <n v="26.586514600000001"/>
    <n v="-81.724697129999996"/>
    <s v="N/A"/>
    <m/>
    <s v="Structural"/>
    <s v="Underway"/>
    <n v="2018"/>
    <s v="Not provided"/>
    <s v="Not provided"/>
    <m/>
  </r>
  <r>
    <n v="4849"/>
    <x v="13"/>
    <s v="N/A"/>
    <s v="FDOT-28"/>
    <s v="SR 82 from Shawnee Rd to Alabama Road"/>
    <s v="Funding Partnership with LAMSID (fka ECWCD) for Moving Water South PH II, Hendry Canal Widening."/>
    <s v="Regional Stormwater Treatment"/>
    <x v="3"/>
    <s v="2018"/>
    <s v="2020"/>
    <s v="N/A"/>
    <s v="N/A"/>
    <s v="Tidal Caloosahatchee"/>
    <s v="Not provided"/>
    <s v="Not provided"/>
    <s v="Not provided"/>
    <s v="FDOT/ LA-MSID"/>
    <s v="Not provided"/>
    <s v="N/A"/>
    <s v="N/A"/>
    <n v="26.564174919999999"/>
    <n v="-81.67332949"/>
    <s v="N/A"/>
    <m/>
    <s v="Structural"/>
    <s v="Underway"/>
    <n v="2019"/>
    <s v="N/A"/>
    <s v="N/A"/>
    <m/>
  </r>
  <r>
    <n v="4850"/>
    <x v="13"/>
    <s v="N/A"/>
    <s v="FDOT-29"/>
    <s v="SR 80 from Dalton Lane to CR 833 (408286-5 &amp;-6)"/>
    <s v="Widening project provided extra nutrient removal in treatment ponds."/>
    <s v="Wet Detention Pond"/>
    <x v="1"/>
    <s v="2017"/>
    <s v="2020"/>
    <s v="TBD"/>
    <s v="TBD"/>
    <s v="West Caloosahatchee"/>
    <s v="Not provided"/>
    <s v="Not provided"/>
    <s v="Not provided"/>
    <s v="FDOT"/>
    <s v="Not provided"/>
    <s v="N/A"/>
    <s v="Not provided"/>
    <n v="26.768470499999999"/>
    <n v="-81.306359999999998"/>
    <s v="N/A"/>
    <m/>
    <s v="Structural"/>
    <s v="Underway"/>
    <n v="2019"/>
    <s v="N/A"/>
    <s v="N/A"/>
    <m/>
  </r>
  <r>
    <n v="4851"/>
    <x v="13"/>
    <s v="N/A"/>
    <s v="FDOT-30"/>
    <s v="SR 82 from Gator Slough Lane to SR 29 (430849-1)"/>
    <s v="Widening project provided extra nutrient removal in treatment ponds."/>
    <s v="Wet Detention Pond"/>
    <x v="3"/>
    <s v="2019"/>
    <s v="2022"/>
    <s v="TBD"/>
    <s v="TBD"/>
    <s v="West Caloosahatchee"/>
    <s v="Not provided"/>
    <s v="Not provided"/>
    <s v="Not provided"/>
    <s v="FDOT"/>
    <s v="Not provided"/>
    <s v="N/A"/>
    <s v="N/A"/>
    <n v="26.494457839999999"/>
    <n v="-81.469266090000005"/>
    <s v="N/A"/>
    <m/>
    <s v="Structural"/>
    <s v="Underway"/>
    <n v="2019"/>
    <s v="N/A"/>
    <s v="N/A"/>
    <m/>
  </r>
  <r>
    <n v="5202"/>
    <x v="13"/>
    <s v="Lee County"/>
    <s v="FDOT-31"/>
    <s v="Six Mile Cypress Preserve North Hydrologic Restoration project"/>
    <s v="Hydrologic restoration project."/>
    <s v="Hydrologic Restoration"/>
    <x v="1"/>
    <s v="Not provided"/>
    <s v="2005"/>
    <n v="718.12984314480002"/>
    <n v="134.12577845138"/>
    <s v="Tidal Caloosahatchee"/>
    <n v="114.3"/>
    <n v="1799539"/>
    <n v="70260"/>
    <s v="County/ SFWMD/ FDOT"/>
    <s v="$567,500"/>
    <s v="N/A"/>
    <s v="Not provided"/>
    <n v="26.6350564"/>
    <n v="-81.770097980000003"/>
    <s v="N/A"/>
    <m/>
    <s v="Structural"/>
    <m/>
    <n v="2019"/>
    <s v="N/A"/>
    <s v="N/A"/>
    <n v="5"/>
  </r>
  <r>
    <n v="5203"/>
    <x v="14"/>
    <s v="DEP/ FDACS"/>
    <s v="FH-01"/>
    <s v="Public Education and Outreach"/>
    <s v="Updates on BMAP and requirements during annual landowner meetings."/>
    <s v="Education Efforts"/>
    <x v="0"/>
    <s v="2020"/>
    <s v="N/A"/>
    <s v="N/A"/>
    <s v="N/A"/>
    <s v="East Caloosahatchee"/>
    <s v="N/A"/>
    <n v="500"/>
    <s v="N/A"/>
    <s v="Flaghole Drainage District"/>
    <s v="$500"/>
    <s v="N/A"/>
    <s v="N/A"/>
    <n v="26.709992"/>
    <n v="-81.049955999999995"/>
    <s v="N/A"/>
    <m/>
    <s v="Non-structural"/>
    <m/>
    <n v="2019"/>
    <s v="N/A"/>
    <s v="N/A"/>
    <m/>
  </r>
  <r>
    <n v="5204"/>
    <x v="14"/>
    <s v="FDACS"/>
    <s v="FH-02"/>
    <s v="FDACS BMP Assistance"/>
    <s v="Provide assistance to FDACS, as needed, to encourage landowners to enroll in BMPs."/>
    <s v="Agricultural BMPs"/>
    <x v="0"/>
    <s v="2020"/>
    <s v="N/A"/>
    <s v="N/A"/>
    <s v="N/A"/>
    <s v="East Caloosahatchee"/>
    <s v="N/A"/>
    <n v="1000"/>
    <s v="N/A"/>
    <s v="Flaghole Drainage District"/>
    <s v="$1,000"/>
    <s v="N/A"/>
    <s v="N/A"/>
    <n v="26.709992"/>
    <n v="-81.049955999999995"/>
    <s v="N/A"/>
    <m/>
    <s v="Non-structural"/>
    <m/>
    <n v="2019"/>
    <s v="N/A"/>
    <s v="N/A"/>
    <m/>
  </r>
  <r>
    <n v="5205"/>
    <x v="14"/>
    <s v="N/A"/>
    <s v="FH-03"/>
    <s v="Nutrient Controls"/>
    <s v="No application of fertilizer in district's rights-of-way."/>
    <s v="Fertilizer Cessation"/>
    <x v="1"/>
    <s v="2020"/>
    <s v="2020"/>
    <s v="N/A"/>
    <s v="N/A"/>
    <s v="East Caloosahatchee"/>
    <s v="N/A"/>
    <n v="0"/>
    <s v="N/A"/>
    <s v="Flaghole Drainage District"/>
    <s v="N/A"/>
    <s v="N/A"/>
    <s v="N/A"/>
    <n v="26.724083"/>
    <n v="-81.078433000000004"/>
    <s v="N/A"/>
    <m/>
    <s v="Non-structural"/>
    <m/>
    <n v="2019"/>
    <s v="N/A"/>
    <s v="N/A"/>
    <m/>
  </r>
  <r>
    <n v="5206"/>
    <x v="14"/>
    <s v="N/A"/>
    <s v="FH-04"/>
    <s v="Slow Velocity in the Main Canal"/>
    <s v="Minimize sediment transport by slowing the velocity in main canal near main discharge structure."/>
    <s v="Control Structure"/>
    <x v="0"/>
    <s v="2021"/>
    <s v="TBD"/>
    <s v="N/A"/>
    <s v="N/A"/>
    <s v="East Caloosahatchee"/>
    <s v="N/A"/>
    <n v="15000"/>
    <s v="N/A"/>
    <s v="Flaghole Drainage District"/>
    <s v="$15,000"/>
    <s v="N/A"/>
    <s v="N/A"/>
    <n v="26.724083"/>
    <n v="-81.078433000000004"/>
    <s v="N/A"/>
    <m/>
    <s v="Structural"/>
    <m/>
    <n v="2019"/>
    <s v="N/A"/>
    <s v="N/A"/>
    <m/>
  </r>
  <r>
    <n v="5207"/>
    <x v="14"/>
    <s v="N/A"/>
    <s v="FH-05"/>
    <s v="Control Structures"/>
    <s v="Annual maintenance of water control structures."/>
    <s v="Control Structure"/>
    <x v="2"/>
    <s v="2021"/>
    <s v="N/A"/>
    <s v="N/A"/>
    <s v="N/A"/>
    <s v="East Caloosahatchee"/>
    <s v="N/A"/>
    <n v="20000"/>
    <s v="N/A"/>
    <s v="Flaghole Drainage District"/>
    <s v="$20,000"/>
    <s v="N/A"/>
    <s v="N/A"/>
    <n v="26.769349999999999"/>
    <n v="-81.114063999999999"/>
    <s v="N/A"/>
    <m/>
    <s v="Structural"/>
    <m/>
    <n v="2019"/>
    <s v="N/A"/>
    <s v="N/A"/>
    <m/>
  </r>
  <r>
    <n v="2367"/>
    <x v="15"/>
    <s v="Not provided"/>
    <s v="FM-01"/>
    <s v="Country Club Neighborhood Exfiltration Trenches"/>
    <s v="Exfiltration trenches."/>
    <s v="Exfiltration Trench"/>
    <x v="1"/>
    <s v="Not provided"/>
    <s v="Prior to 2012"/>
    <n v="213.73085669413214"/>
    <n v="26.776340056296988"/>
    <s v="Tidal Caloosahatchee"/>
    <n v="124.6"/>
    <s v="Not provided"/>
    <s v="Not provided"/>
    <s v="Not provided"/>
    <s v="Not provided"/>
    <s v="N/A"/>
    <s v="Not provided"/>
    <n v="26.61183763"/>
    <n v="-81.879033699999994"/>
    <s v="N/A"/>
    <m/>
    <s v="Structural"/>
    <s v="Completed"/>
    <n v="2012"/>
    <n v="379.20291199999997"/>
    <s v="N/A"/>
    <m/>
  </r>
  <r>
    <n v="2368"/>
    <x v="15"/>
    <s v="Not provided"/>
    <s v="FM-02"/>
    <s v="Education Efforts"/>
    <s v="FYN, fertilizer ordinance, pamphlets, PSAs, website, illicit discharge program."/>
    <s v="Education Efforts"/>
    <x v="2"/>
    <s v="Not provided"/>
    <s v="N/A"/>
    <n v="4652.174979774828"/>
    <n v="1630.402357841793"/>
    <s v="Tidal Caloosahatchee"/>
    <s v="N/A"/>
    <s v="Not provided"/>
    <s v="Not provided"/>
    <s v="Not provided"/>
    <s v="Not provided"/>
    <s v="N/A"/>
    <s v="Not provided"/>
    <s v="Not provided"/>
    <s v="Not provided"/>
    <s v="N/A"/>
    <m/>
    <s v="Non-structural"/>
    <s v="Ongoing"/>
    <n v="2012"/>
    <n v="952.99679200000003"/>
    <s v="N/A"/>
    <m/>
  </r>
  <r>
    <n v="2369"/>
    <x v="15"/>
    <s v="Not provided"/>
    <s v="FM-03"/>
    <s v="Winkler Avenue Utility and Streetscape Improvements"/>
    <s v="Installation of StormceptorsTM."/>
    <s v="Hydrodynamic Separators"/>
    <x v="1"/>
    <s v="Not provided"/>
    <s v="Prior to 2012"/>
    <s v="TBD"/>
    <s v="TBD"/>
    <s v="Tidal Caloosahatchee"/>
    <n v="117.9"/>
    <s v="Not provided"/>
    <s v="Not provided"/>
    <s v="Not provided"/>
    <s v="Not provided"/>
    <s v="N/A"/>
    <s v="Not provided"/>
    <n v="26.545303010000001"/>
    <n v="-81.898234450000004"/>
    <s v="N/A"/>
    <m/>
    <s v="Structural"/>
    <s v="Completed"/>
    <n v="2012"/>
    <n v="18.14368"/>
    <s v="N/A"/>
    <m/>
  </r>
  <r>
    <n v="2370"/>
    <x v="15"/>
    <s v="Not provided"/>
    <s v="FM-04"/>
    <s v="Manuel's Branch Siltation Structures"/>
    <s v="Installation of siltation structure designed to receive incoming flow, reduce its velocity and allow for settling of suspended particles. Called sediment trap (near control structure)."/>
    <s v="Control Structure"/>
    <x v="1"/>
    <s v="Not provided"/>
    <s v="Prior to 2012"/>
    <n v="485.94195997010848"/>
    <n v="77.728824044765787"/>
    <s v="Tidal Caloosahatchee"/>
    <n v="642.70000000000005"/>
    <s v="Not provided"/>
    <s v="Not provided"/>
    <s v="Not provided"/>
    <s v="Not provided"/>
    <s v="N/A"/>
    <s v="Not provided"/>
    <n v="26.627068189999999"/>
    <n v="-81.879868650000006"/>
    <s v="N/A"/>
    <m/>
    <s v="Structural"/>
    <s v="Completed"/>
    <n v="2012"/>
    <n v="488.97217599999999"/>
    <s v="N/A"/>
    <m/>
  </r>
  <r>
    <n v="2371"/>
    <x v="15"/>
    <s v="Not provided"/>
    <s v="FM-05"/>
    <s v="Manuel's Branch Control Structures"/>
    <s v="Series of two weirs constructed along Manuel's Branch between Royal Palm Avenue and Grand Avenue that act as detention structures for purpose of increasing storage and attenuation in canal."/>
    <s v="Control Structure"/>
    <x v="1"/>
    <s v="Not provided"/>
    <s v="Prior to 2012"/>
    <n v="981.2364943613585"/>
    <n v="310.58469773282712"/>
    <s v="Tidal Caloosahatchee"/>
    <n v="437.9"/>
    <s v="Not provided"/>
    <s v="Not provided"/>
    <s v="Not provided"/>
    <s v="Not provided"/>
    <s v="N/A"/>
    <s v="Not provided"/>
    <n v="26.626174089999999"/>
    <n v="-81.870245389999994"/>
    <s v="N/A"/>
    <m/>
    <s v="Structural"/>
    <s v="Completed"/>
    <n v="2012"/>
    <n v="998.80958399999997"/>
    <s v="N/A"/>
    <m/>
  </r>
  <r>
    <n v="2372"/>
    <x v="15"/>
    <s v="Not provided"/>
    <s v="FM-06"/>
    <s v="Billy's Creek Wetland"/>
    <s v="Filter marsh park."/>
    <s v="Constructed Wetland Treatment"/>
    <x v="1"/>
    <s v="Not provided"/>
    <s v="Prior to 2012"/>
    <n v="1421"/>
    <n v="1211"/>
    <s v="Tidal Caloosahatchee"/>
    <n v="1631.6"/>
    <s v="Not provided"/>
    <s v="Not provided"/>
    <s v="Not provided"/>
    <s v="Not provided"/>
    <s v="N/A"/>
    <s v="Not provided"/>
    <n v="26.66128544"/>
    <n v="-81.824795080000001"/>
    <s v="N/A"/>
    <m/>
    <s v="Structural"/>
    <s v="Completed"/>
    <n v="2012"/>
    <n v="1825.7077999999999"/>
    <s v="N/A"/>
    <m/>
  </r>
  <r>
    <n v="2373"/>
    <x v="15"/>
    <s v="Not provided"/>
    <s v="FM-07"/>
    <s v="Brookhill Drive Utility Drainage Improvement"/>
    <s v="Installation of 2 Nutrient Baffle Boxes in parallel along Brookhill Dr."/>
    <s v="Baffle Boxes- Second Generation with Media"/>
    <x v="1"/>
    <s v="Not provided"/>
    <s v="2013"/>
    <n v="36.408610440713289"/>
    <n v="3.6839592547341176"/>
    <s v="Tidal Caloosahatchee"/>
    <n v="28"/>
    <s v="Not provided"/>
    <s v="Not provided"/>
    <s v="Not provided"/>
    <s v="Not provided"/>
    <s v="N/A"/>
    <s v="Not provided"/>
    <n v="26.650760900000002"/>
    <n v="-81.842907210000007"/>
    <s v="N/A"/>
    <m/>
    <s v="Structural"/>
    <s v="Completed"/>
    <n v="2012"/>
    <n v="4.9895119999999995"/>
    <s v="N/A"/>
    <m/>
  </r>
  <r>
    <n v="2374"/>
    <x v="15"/>
    <s v="Not provided"/>
    <s v="FM-08"/>
    <s v="Street Sweeping"/>
    <s v="All city roads with curb and gutter divided into four zones and swept at varying frequencies based on pollutant accumulation."/>
    <s v="Street Sweeping"/>
    <x v="2"/>
    <s v="Not provided"/>
    <s v="N/A"/>
    <n v="1851.3153696785869"/>
    <n v="1173.8445490668453"/>
    <s v="Tidal Caloosahatchee"/>
    <s v="N/A"/>
    <s v="Not provided"/>
    <s v="Not provided"/>
    <s v="Not provided"/>
    <s v="Not provided"/>
    <s v="N/A"/>
    <s v="Not provided"/>
    <s v="N/A"/>
    <s v="N/A"/>
    <s v="N/A"/>
    <m/>
    <s v="Non-structural"/>
    <s v="Ongoing"/>
    <n v="2012"/>
    <n v="1171.174544"/>
    <s v="N/A"/>
    <m/>
  </r>
  <r>
    <n v="2375"/>
    <x v="15"/>
    <s v="Not provided"/>
    <s v="FM-09"/>
    <s v="Ford Street Preserve"/>
    <s v="Constructed wetland treatment system that removes pollutants from Ford Street Canal, which serves 811 acres of highly urbanized watershed."/>
    <s v="Constructed Wetland Treatment"/>
    <x v="1"/>
    <s v="Not provided"/>
    <s v="2015"/>
    <n v="7916.409812016459"/>
    <n v="1411.9776663543594"/>
    <s v="Tidal Caloosahatchee"/>
    <n v="811"/>
    <s v="Not provided"/>
    <s v="Not provided"/>
    <s v="Not provided"/>
    <s v="Not provided"/>
    <s v="N/A"/>
    <s v="Not provided"/>
    <n v="26.652341320000001"/>
    <n v="-81.846580000000003"/>
    <s v="N/A"/>
    <m/>
    <s v="Structural"/>
    <s v="Completed"/>
    <n v="2012"/>
    <n v="3308.046456"/>
    <s v="N/A"/>
    <m/>
  </r>
  <r>
    <n v="2376"/>
    <x v="15"/>
    <s v="Not provided"/>
    <s v="FM-10"/>
    <s v="Riverfront Development Phase 1"/>
    <s v="Retention pond."/>
    <s v="On-line Retention BMPs"/>
    <x v="1"/>
    <s v="Not provided"/>
    <s v="2013"/>
    <n v="37.402900438605002"/>
    <n v="9.9875885900680039"/>
    <s v="Tidal Caloosahatchee"/>
    <n v="15"/>
    <s v="Not provided"/>
    <s v="Not provided"/>
    <s v="Not provided"/>
    <s v="Not provided"/>
    <s v="N/A"/>
    <s v="Not provided"/>
    <n v="26.645897040000001"/>
    <n v="-81.87110337"/>
    <s v="N/A"/>
    <m/>
    <s v="Structural"/>
    <s v="Completed"/>
    <n v="2012"/>
    <n v="40.823279999999997"/>
    <s v="N/A"/>
    <m/>
  </r>
  <r>
    <n v="2388"/>
    <x v="15"/>
    <s v="Not provided"/>
    <s v="FM-11"/>
    <s v="Carrell Canal Water Quality Retrofit"/>
    <s v="Two detention areas, five filter marshes, and golf course renovation."/>
    <s v="BMP Treatment Train"/>
    <x v="1"/>
    <s v="Not provided"/>
    <s v="2014"/>
    <n v="639.77533117310008"/>
    <n v="218.32377324732877"/>
    <s v="Tidal Caloosahatchee"/>
    <n v="848"/>
    <s v="Not provided"/>
    <s v="Not provided"/>
    <s v="Not provided"/>
    <s v="Not provided"/>
    <s v="N/A"/>
    <s v="Not provided"/>
    <n v="26.610993400000002"/>
    <n v="-81.876577359999999"/>
    <s v="N/A"/>
    <m/>
    <s v="Structural"/>
    <s v="Completed"/>
    <n v="2014"/>
    <n v="578.32979999999998"/>
    <s v="N/A"/>
    <m/>
  </r>
  <r>
    <n v="2378"/>
    <x v="15"/>
    <s v="Not provided"/>
    <s v="FM-12"/>
    <s v="Aquashores Neighborhood"/>
    <s v="Installation of two StormceptorsTM."/>
    <s v="Hydrodynamic Separators"/>
    <x v="1"/>
    <s v="Not provided"/>
    <s v="2016"/>
    <n v="0"/>
    <n v="0.72162417355154007"/>
    <s v="Tidal Caloosahatchee"/>
    <n v="9"/>
    <s v="Not provided"/>
    <s v="Not provided"/>
    <s v="Not provided"/>
    <s v="Not provided"/>
    <s v="N/A"/>
    <s v="Not provided"/>
    <n v="26.649867239999999"/>
    <n v="-81.844605889999997"/>
    <s v="N/A"/>
    <m/>
    <s v="Structural"/>
    <m/>
    <n v="2017"/>
    <s v="TBD"/>
    <s v="N/A"/>
    <m/>
  </r>
  <r>
    <n v="2366"/>
    <x v="15"/>
    <s v="Not provided"/>
    <s v="FM-13"/>
    <s v="Billy &amp; High Street Drainage Improvement"/>
    <s v="Neighborhood improvement project."/>
    <s v="BMP Treatment Train"/>
    <x v="3"/>
    <s v="Not provided"/>
    <s v="TBD"/>
    <s v="TBD"/>
    <s v="TBD"/>
    <s v="Tidal Caloosahatchee"/>
    <n v="9"/>
    <s v="Not provided"/>
    <s v="Not provided"/>
    <s v="Not provided"/>
    <s v="Not provided"/>
    <s v="N/A"/>
    <s v="Not provided"/>
    <n v="26.646745150000001"/>
    <n v="-81.852354550000001"/>
    <s v="N/A"/>
    <m/>
    <s v="Structural"/>
    <m/>
    <n v="2017"/>
    <s v="TBD"/>
    <s v="N/A"/>
    <m/>
  </r>
  <r>
    <n v="2379"/>
    <x v="15"/>
    <s v="Not provided"/>
    <s v="FM-14"/>
    <s v="Ridgewood Park Neighborhood Improvements"/>
    <s v="Neighborhood improvement projects to be done in phases."/>
    <s v="BMP Treatment Train"/>
    <x v="0"/>
    <s v="Not provided"/>
    <s v="TBD"/>
    <s v="TBD"/>
    <s v="TBD"/>
    <s v="Tidal Caloosahatchee"/>
    <n v="242"/>
    <s v="Not provided"/>
    <s v="Not provided"/>
    <s v="Not provided"/>
    <s v="Not provided"/>
    <s v="N/A"/>
    <s v="Not provided"/>
    <n v="26.661574640000001"/>
    <n v="-81.832974219999997"/>
    <s v="N/A"/>
    <m/>
    <s v="Structural"/>
    <m/>
    <n v="2017"/>
    <s v="TBD"/>
    <s v="N/A"/>
    <m/>
  </r>
  <r>
    <n v="2380"/>
    <x v="15"/>
    <s v="Not provided"/>
    <s v="FM-15"/>
    <s v="Midtown Redevelopment"/>
    <s v="Area improvements including water quality improvements."/>
    <s v="BMP Treatment Train"/>
    <x v="0"/>
    <s v="Not provided"/>
    <s v="TBD"/>
    <s v="TBD"/>
    <s v="TBD"/>
    <s v="Tidal Caloosahatchee"/>
    <n v="183"/>
    <s v="Not provided"/>
    <s v="Not provided"/>
    <s v="Not provided"/>
    <s v="Not provided"/>
    <s v="N/A"/>
    <s v="Not provided"/>
    <n v="26.634447460000001"/>
    <n v="-81.843164709999996"/>
    <s v="N/A"/>
    <m/>
    <s v="Structural"/>
    <m/>
    <n v="2017"/>
    <s v="TBD"/>
    <s v="N/A"/>
    <m/>
  </r>
  <r>
    <n v="2381"/>
    <x v="15"/>
    <s v="Not provided"/>
    <s v="FM-16"/>
    <s v="Edgewood Neighborhood Improvements"/>
    <s v="Neighborhood improvement projects to be done in phases."/>
    <s v="BMP Treatment Train"/>
    <x v="0"/>
    <s v="Not provided"/>
    <s v="TBD"/>
    <s v="TBD"/>
    <s v="TBD"/>
    <s v="Tidal Caloosahatchee"/>
    <n v="336"/>
    <s v="Not provided"/>
    <s v="Not provided"/>
    <s v="Not provided"/>
    <s v="Not provided"/>
    <s v="N/A"/>
    <s v="Not provided"/>
    <n v="26.66456608"/>
    <n v="-81.837716369999995"/>
    <s v="N/A"/>
    <m/>
    <s v="Structural"/>
    <m/>
    <n v="2017"/>
    <s v="TBD"/>
    <s v="N/A"/>
    <m/>
  </r>
  <r>
    <n v="4852"/>
    <x v="16"/>
    <s v="N/A"/>
    <s v="GC-01"/>
    <s v="Education and Outreach"/>
    <s v="FYN; landscaping, irrigation, and fertilizer ordinances; PSAs, pamphlets, website, and illicit discharge program."/>
    <s v="Education Efforts"/>
    <x v="1"/>
    <s v="2014"/>
    <s v="2015"/>
    <n v="1564.0296893829764"/>
    <n v="299.09398854493202"/>
    <s v="West Caloosahatchee; East Caloosahatchee"/>
    <s v="N/A"/>
    <s v="Not provided"/>
    <n v="5500"/>
    <s v="Glades County"/>
    <s v="N/A"/>
    <s v="N/A"/>
    <s v="N/A"/>
    <n v="26.864781000000001"/>
    <n v="-81.287188"/>
    <s v="N/A"/>
    <m/>
    <s v="Non-structural"/>
    <s v="Completed"/>
    <n v="2019"/>
    <s v="N/A"/>
    <s v="N/A"/>
    <m/>
  </r>
  <r>
    <n v="4853"/>
    <x v="16"/>
    <s v="N/A"/>
    <s v="GC-02"/>
    <s v="Glades County Caloosahatchee River &amp; Estuary Area Wastewater Grant"/>
    <s v="Elimination of aging and/or failing existing septic systems in the City of Moore Haven. The Project also provides for additional conveyance capacity for additional homes and businesses."/>
    <s v="OSTDS Phase Out"/>
    <x v="3"/>
    <s v="2018"/>
    <s v="2021"/>
    <n v="1252.7"/>
    <s v="N/A"/>
    <s v="East Caloosahatchee"/>
    <s v="TBD"/>
    <n v="891848"/>
    <n v="12240"/>
    <s v="DEP"/>
    <s v="$891,848"/>
    <s v="LP22023"/>
    <s v="N/A"/>
    <n v="26.828299999999999"/>
    <n v="-81.096900000000005"/>
    <s v="DEP grant"/>
    <m/>
    <s v="Structural"/>
    <s v="Planned"/>
    <n v="2019"/>
    <s v="N/A"/>
    <s v="N/A"/>
    <n v="1"/>
  </r>
  <r>
    <n v="4854"/>
    <x v="16"/>
    <s v="N/A"/>
    <s v="GC-03"/>
    <s v="Glades County Business Park Wetlands"/>
    <s v="Wetland maintenance and planting agreement."/>
    <s v="Constructed Wetland Treatment"/>
    <x v="3"/>
    <s v="2019"/>
    <s v="2021"/>
    <s v="TBD"/>
    <s v="TBD"/>
    <s v="Upstream of Estuary BMAP"/>
    <n v="9"/>
    <n v="42395"/>
    <n v="21198"/>
    <s v="Glades County"/>
    <s v="$42,395"/>
    <s v="N/A"/>
    <s v="N/A"/>
    <n v="26.835516999999999"/>
    <n v="-81.124968999999993"/>
    <s v="N/A"/>
    <m/>
    <s v="Structural"/>
    <s v="Underway"/>
    <n v="2019"/>
    <s v="N/A"/>
    <s v="N/A"/>
    <m/>
  </r>
  <r>
    <n v="5208"/>
    <x v="17"/>
    <s v="DEP/ FDACS"/>
    <s v="GG-01"/>
    <s v="Public Education and Outreach"/>
    <s v="Updates on BMAP and requirements during annual landowner meetings."/>
    <s v="Education Efforts"/>
    <x v="0"/>
    <s v="2020"/>
    <s v="N/A"/>
    <s v="N/A"/>
    <s v="N/A"/>
    <s v="West Caloosahatchee"/>
    <s v="N/A"/>
    <n v="500"/>
    <s v="N/A"/>
    <s v="Gerber Groves WCD"/>
    <s v="$500"/>
    <s v="N/A"/>
    <s v="N/A"/>
    <n v="26.677781"/>
    <n v="-81.342258000000001"/>
    <s v="N/A"/>
    <m/>
    <s v="Non-structural"/>
    <m/>
    <n v="2019"/>
    <s v="N/A"/>
    <s v="N/A"/>
    <m/>
  </r>
  <r>
    <n v="5209"/>
    <x v="17"/>
    <s v="FDACS"/>
    <s v="GG-02"/>
    <s v="FDACS BMP Assistance"/>
    <s v="Provide assistance to FDACS, as needed, to encourage landowners to enroll in BMPs."/>
    <s v="Agricultural BMPs"/>
    <x v="0"/>
    <s v="2020"/>
    <s v="N/A"/>
    <s v="N/A"/>
    <s v="N/A"/>
    <s v="West Caloosahatchee"/>
    <s v="N/A"/>
    <n v="1000"/>
    <s v="N/A"/>
    <s v="Gerber Groves WCD"/>
    <s v="$1,000"/>
    <s v="N/A"/>
    <s v="N/A"/>
    <n v="26.677781"/>
    <n v="-81.342258000000001"/>
    <s v="N/A"/>
    <m/>
    <s v="Non-structural"/>
    <m/>
    <n v="2019"/>
    <s v="N/A"/>
    <s v="N/A"/>
    <m/>
  </r>
  <r>
    <n v="5210"/>
    <x v="17"/>
    <s v="N/A"/>
    <s v="GG-03"/>
    <s v="Nutrient Controls"/>
    <s v="No application of fertilizer in district's rights-of-way."/>
    <s v="Fertilizer Cessation"/>
    <x v="1"/>
    <s v="2020"/>
    <s v="2020"/>
    <s v="N/A"/>
    <s v="N/A"/>
    <s v="West Caloosahatchee"/>
    <s v="N/A"/>
    <n v="0"/>
    <s v="N/A"/>
    <s v="Gerber Groves WCD"/>
    <s v="N/A"/>
    <s v="N/A"/>
    <s v="N/A"/>
    <n v="26.68239677"/>
    <n v="-81.344608140000005"/>
    <s v="N/A"/>
    <m/>
    <s v="Non-structural"/>
    <m/>
    <n v="2019"/>
    <s v="N/A"/>
    <s v="N/A"/>
    <m/>
  </r>
  <r>
    <n v="5211"/>
    <x v="17"/>
    <s v="N/A"/>
    <s v="GG-04"/>
    <s v="Canal/Ditch Bank Berms"/>
    <s v="Minimize sediment transport by constructing berms on top of canal/ditch banks and promoting vegetation cover."/>
    <s v="Shoreline Stabilization"/>
    <x v="0"/>
    <s v="2021"/>
    <s v="TBD"/>
    <s v="N/A"/>
    <s v="N/A"/>
    <s v="West Caloosahatchee"/>
    <s v="N/A"/>
    <n v="5000"/>
    <s v="N/A"/>
    <s v="Gerber Groves WCD"/>
    <s v="$5,000"/>
    <s v="N/A"/>
    <s v="N/A"/>
    <n v="26.68239677"/>
    <n v="-81.344608140000005"/>
    <s v="N/A"/>
    <m/>
    <s v="Structural"/>
    <m/>
    <n v="2019"/>
    <s v="N/A"/>
    <s v="N/A"/>
    <m/>
  </r>
  <r>
    <n v="5212"/>
    <x v="17"/>
    <s v="N/A"/>
    <s v="GG-05"/>
    <s v="Control Structures"/>
    <s v="Annual maintenance of water control structures."/>
    <s v="Control Structure"/>
    <x v="2"/>
    <s v="2021"/>
    <s v="N/A"/>
    <s v="N/A"/>
    <s v="N/A"/>
    <s v="West Caloosahatchee"/>
    <s v="N/A"/>
    <n v="5000"/>
    <s v="N/A"/>
    <s v="Gerber Groves WCD"/>
    <s v="$5,000"/>
    <s v="N/A"/>
    <s v="N/A"/>
    <n v="26.699728"/>
    <n v="-81.333053000000007"/>
    <s v="N/A"/>
    <m/>
    <s v="Structural"/>
    <m/>
    <n v="2019"/>
    <s v="N/A"/>
    <s v="N/A"/>
    <m/>
  </r>
  <r>
    <n v="5213"/>
    <x v="18"/>
    <s v="DEP/ FDACS"/>
    <s v="HH-01"/>
    <s v="Public Education and Outreach"/>
    <s v="Updates on BMAP and requirements during annual landowner meetings."/>
    <s v="Education Efforts"/>
    <x v="0"/>
    <s v="2020"/>
    <s v="N/A"/>
    <s v="N/A"/>
    <s v="N/A"/>
    <s v="East Caloosahatchee"/>
    <s v="N/A"/>
    <n v="500"/>
    <s v="N/A"/>
    <s v="Hendry-Hilliard WCD"/>
    <s v="$500"/>
    <s v="N/A"/>
    <s v="N/A"/>
    <n v="26.733741999999999"/>
    <s v="-81.1420.36"/>
    <s v="N/A"/>
    <m/>
    <s v="Non-structural"/>
    <m/>
    <n v="2019"/>
    <s v="N/A"/>
    <s v="N/A"/>
    <m/>
  </r>
  <r>
    <n v="5214"/>
    <x v="18"/>
    <s v="FDACS"/>
    <s v="HH-02"/>
    <s v="FDACS BMP Assistance"/>
    <s v="Provide assistance to FDACS, as needed, to encourage landowners to enroll in BMPs."/>
    <s v="Agricultural BMPs"/>
    <x v="0"/>
    <s v="2020"/>
    <s v="N/A"/>
    <s v="N/A"/>
    <s v="N/A"/>
    <s v="East Caloosahatchee"/>
    <s v="N/A"/>
    <n v="1000"/>
    <s v="N/A"/>
    <s v="Hendry-Hilliard WCD"/>
    <s v="$1,000"/>
    <s v="N/A"/>
    <s v="N/A"/>
    <n v="26.733741999999999"/>
    <s v="-81.1420.36"/>
    <s v="N/A"/>
    <m/>
    <s v="Non-structural"/>
    <m/>
    <n v="2019"/>
    <s v="N/A"/>
    <s v="N/A"/>
    <m/>
  </r>
  <r>
    <n v="5215"/>
    <x v="18"/>
    <s v="N/A"/>
    <s v="HH-03"/>
    <s v="Nutrient Controls"/>
    <s v="No application of fertilizer in district's rights-of-way."/>
    <s v="Fertilizer Cessation"/>
    <x v="1"/>
    <s v="2020"/>
    <s v="2020"/>
    <s v="N/A"/>
    <s v="N/A"/>
    <s v="East Caloosahatchee"/>
    <s v="N/A"/>
    <n v="0"/>
    <s v="N/A"/>
    <s v="Hendry-Hilliard WCD"/>
    <s v="N/A"/>
    <s v="N/A"/>
    <s v="N/A"/>
    <n v="26.738786000000001"/>
    <s v="-81.1556.17"/>
    <s v="N/A"/>
    <m/>
    <s v="Non-structural"/>
    <m/>
    <n v="2019"/>
    <s v="N/A"/>
    <s v="N/A"/>
    <m/>
  </r>
  <r>
    <n v="5216"/>
    <x v="18"/>
    <s v="N/A"/>
    <s v="HH-04"/>
    <s v="Slow Velocity in the Main Canal"/>
    <s v="Minimize sediment transport by slowing velocity in main canal near main discharge structure."/>
    <s v="Control Structure"/>
    <x v="0"/>
    <s v="2021"/>
    <s v="TBD"/>
    <s v="N/A"/>
    <s v="N/A"/>
    <s v="East Caloosahatchee"/>
    <s v="N/A"/>
    <n v="3500"/>
    <s v="N/A"/>
    <s v="Hendry-Hilliard WCD"/>
    <s v="$3,500"/>
    <s v="N/A"/>
    <s v="N/A"/>
    <n v="26.738786000000001"/>
    <s v="-81.1556.17"/>
    <s v="N/A"/>
    <m/>
    <s v="Structural"/>
    <m/>
    <n v="2019"/>
    <s v="N/A"/>
    <s v="N/A"/>
    <m/>
  </r>
  <r>
    <n v="5217"/>
    <x v="18"/>
    <s v="N/A"/>
    <s v="HH-05"/>
    <s v="Control Structures"/>
    <s v="Annual maintenance of water control structures."/>
    <s v="Control Structure"/>
    <x v="2"/>
    <s v="2021"/>
    <s v="N/A"/>
    <s v="N/A"/>
    <s v="N/A"/>
    <s v="East Caloosahatchee"/>
    <s v="N/A"/>
    <n v="2000"/>
    <s v="N/A"/>
    <s v="Hendry-Hilliard WCD"/>
    <s v="$2,000"/>
    <s v="N/A"/>
    <s v="N/A"/>
    <n v="26.758478"/>
    <n v="-81.151114000000007"/>
    <s v="N/A"/>
    <m/>
    <s v="Structural"/>
    <m/>
    <n v="2019"/>
    <s v="N/A"/>
    <s v="N/A"/>
    <m/>
  </r>
  <r>
    <n v="2382"/>
    <x v="19"/>
    <s v="Not provided"/>
    <s v="LA-01"/>
    <s v="Education/Pollution Prevention/Fertilizer"/>
    <s v="Pollution prevention and fertilizer education."/>
    <s v="Education Efforts"/>
    <x v="2"/>
    <s v="Not provided"/>
    <s v="N/A"/>
    <n v="1622.5190861155108"/>
    <n v="276.47363964071855"/>
    <s v="Tidal Caloosahatchee; West Caloosahatchee"/>
    <s v="N/A"/>
    <s v="Not provided"/>
    <s v="Not provided"/>
    <s v="Not provided"/>
    <s v="Not provided"/>
    <s v="N/A"/>
    <s v="Not provided"/>
    <s v="N/A"/>
    <s v="N/A"/>
    <s v="N/A"/>
    <m/>
    <s v="Non-structural"/>
    <s v="Ongoing"/>
    <n v="2012"/>
    <n v="746.61243200000001"/>
    <s v="N/A"/>
    <m/>
  </r>
  <r>
    <n v="2383"/>
    <x v="19"/>
    <s v="Not provided"/>
    <s v="LA-02"/>
    <s v="Freshwater Canal Detention"/>
    <s v="Regulation of freshwater canals through existing control structures."/>
    <s v="Control Structure"/>
    <x v="1"/>
    <s v="Not provided"/>
    <s v="Prior to 2012"/>
    <n v="9377.908998913872"/>
    <n v="1464.9327200455059"/>
    <s v="Tidal Caloosahatchee; West Caloosahatchee"/>
    <n v="32555"/>
    <s v="Not provided"/>
    <s v="Not provided"/>
    <s v="Not provided"/>
    <s v="Not provided"/>
    <s v="N/A"/>
    <s v="Not provided"/>
    <s v="Not provided"/>
    <s v="Not provided"/>
    <s v="N/A"/>
    <m/>
    <s v="Structural"/>
    <s v="Completed"/>
    <n v="2012"/>
    <n v="3601.5204800000001"/>
    <s v="N/A"/>
    <m/>
  </r>
  <r>
    <n v="2385"/>
    <x v="19"/>
    <s v="Not provided"/>
    <s v="LA-03"/>
    <s v="Weir Elevation Improvements"/>
    <s v="Replacement of weir structures at increased control elevations to provide additional attenuation."/>
    <s v="Control Structure"/>
    <x v="1"/>
    <s v="Not provided"/>
    <s v="Prior to 2012"/>
    <n v="8909.0135489681779"/>
    <n v="1391.6860840432307"/>
    <s v="Tidal Caloosahatchee; West Caloosahatchee"/>
    <n v="32555"/>
    <s v="Not provided"/>
    <s v="Not provided"/>
    <s v="Not provided"/>
    <s v="Not provided"/>
    <s v="N/A"/>
    <s v="Not provided"/>
    <s v="Not provided"/>
    <s v="Not provided"/>
    <s v="N/A"/>
    <m/>
    <s v="Structural"/>
    <s v="Completed"/>
    <n v="2012"/>
    <n v="3421.4444560000002"/>
    <s v="N/A"/>
    <m/>
  </r>
  <r>
    <n v="2387"/>
    <x v="19"/>
    <s v="Not provided"/>
    <s v="LA-04"/>
    <s v="Harn's Marsh Phases I and II"/>
    <s v="Replacement of weir structures and redirection of flows into filter marsh."/>
    <s v="Control Structure"/>
    <x v="1"/>
    <s v="Not provided"/>
    <s v="Prior to 2012"/>
    <s v="TBD"/>
    <s v="TBD"/>
    <s v="Tidal Caloosahatchee"/>
    <n v="32555"/>
    <s v="Not provided"/>
    <s v="Not provided"/>
    <s v="Not provided"/>
    <s v="Not provided"/>
    <s v="N/A"/>
    <s v="Not provided"/>
    <n v="26.65282629"/>
    <n v="-81.692856840000005"/>
    <s v="N/A"/>
    <m/>
    <s v="Structural"/>
    <s v="Completed"/>
    <n v="2012"/>
    <n v="2123.717744"/>
    <s v="N/A"/>
    <m/>
  </r>
  <r>
    <n v="2354"/>
    <x v="19"/>
    <s v="Not provided"/>
    <s v="LA-05"/>
    <s v="Jim Flemming Eco-Park"/>
    <s v="Wetland rehydration and treatment."/>
    <s v="Hydrologic Restoration"/>
    <x v="1"/>
    <s v="Not provided"/>
    <s v="Prior to 2012"/>
    <n v="7942.2942934720131"/>
    <n v="1715.8112762205844"/>
    <s v="Tidal Caloosahatchee"/>
    <n v="5.0199999999999996"/>
    <s v="Not provided"/>
    <s v="Not provided"/>
    <s v="Not provided"/>
    <s v="Not provided"/>
    <s v="N/A"/>
    <s v="Not provided"/>
    <n v="26.617427930000002"/>
    <n v="-81.695783120000002"/>
    <s v="N/A"/>
    <m/>
    <s v="Structural"/>
    <s v="Completed"/>
    <n v="2012"/>
    <n v="17.808021919999998"/>
    <s v="N/A"/>
    <m/>
  </r>
  <r>
    <n v="2352"/>
    <x v="19"/>
    <s v="Not provided"/>
    <s v="LA-06"/>
    <s v="Mirror Lake Phase I"/>
    <s v="Detention pond."/>
    <s v="Wet Detention Pond"/>
    <x v="1"/>
    <s v="Not provided"/>
    <s v="2013"/>
    <n v="819.06950398826666"/>
    <n v="127.17501865455264"/>
    <s v="Tidal Caloosahatchee"/>
    <n v="32555"/>
    <s v="Not provided"/>
    <s v="Not provided"/>
    <s v="Not provided"/>
    <s v="Not provided"/>
    <s v="N/A"/>
    <s v="Not provided"/>
    <n v="26.56256346"/>
    <n v="-81.647469569999998"/>
    <s v="N/A"/>
    <m/>
    <s v="Structural"/>
    <s v="Completed"/>
    <n v="2012"/>
    <n v="615.52434400000004"/>
    <s v="N/A"/>
    <m/>
  </r>
  <r>
    <n v="2377"/>
    <x v="19"/>
    <s v="DEP/ FDOT"/>
    <s v="LA-07"/>
    <s v="Aquifer Benefit and Storage for Orange River Basin (Southwest Lehigh Weirs)"/>
    <s v="Increase canal control elevations and local groundwater levels by constructing 25 new weirs."/>
    <s v="Control Structure"/>
    <x v="1"/>
    <s v="2016"/>
    <s v="2017"/>
    <n v="5550.986471295053"/>
    <n v="935.11069335242212"/>
    <s v="Tidal Caloosahatchee"/>
    <n v="5760"/>
    <n v="2532311.3199999998"/>
    <s v="Not provided"/>
    <s v="DEP/ FDOT"/>
    <s v="DEP - $1,224,800/ FDOT - $1,903,200"/>
    <s v="S0721"/>
    <s v="N/A"/>
    <n v="26.590993109999999"/>
    <n v="-81.685941060000005"/>
    <s v="N/A"/>
    <m/>
    <s v="Structural"/>
    <m/>
    <n v="2016"/>
    <n v="895.8442"/>
    <s v="N/A"/>
    <m/>
  </r>
  <r>
    <n v="2344"/>
    <x v="19"/>
    <s v="N/A"/>
    <s v="LA-08"/>
    <s v="S-AW-2 Weir Elevation Improvements"/>
    <s v="Replacement of weir structures at increase control elevations to provide additional attenuation."/>
    <s v="Control Structure"/>
    <x v="1"/>
    <s v="2016"/>
    <s v="2017"/>
    <n v="415.70182472888177"/>
    <n v="61.421911762441724"/>
    <s v="Tidal Caloosahatchee"/>
    <n v="640"/>
    <n v="400000"/>
    <n v="15000"/>
    <s v="LA-MSID"/>
    <s v="LA-MSID - $400,000"/>
    <s v="N/A"/>
    <s v="N/A"/>
    <n v="26.592390000000002"/>
    <n v="-81.617940000000004"/>
    <s v="N/A"/>
    <m/>
    <s v="Structural"/>
    <m/>
    <n v="2017"/>
    <n v="147.19060400000001"/>
    <s v="N/A"/>
    <m/>
  </r>
  <r>
    <n v="2363"/>
    <x v="19"/>
    <s v="SFWMD"/>
    <s v="LA-09"/>
    <s v="Mirror Lake Phase 2"/>
    <s v="Detention pond."/>
    <s v="Wet Detention Pond"/>
    <x v="3"/>
    <s v="2017"/>
    <s v="2018"/>
    <n v="738.80069259741651"/>
    <n v="108.86181596829707"/>
    <s v="Tidal Caloosahatchee"/>
    <n v="32555"/>
    <n v="500000"/>
    <s v="TBD"/>
    <s v="LA-MSID/ SFWMD"/>
    <s v="LA-MSID - $300,000/ SFWMD - $200,000"/>
    <s v="N/A"/>
    <s v="Not provided"/>
    <n v="26.56049063"/>
    <n v="-81.637770700000004"/>
    <s v="N/A"/>
    <m/>
    <s v="Structural"/>
    <s v="In Design"/>
    <n v="2017"/>
    <n v="2239.8372960000002"/>
    <s v="N/A"/>
    <n v="2"/>
  </r>
  <r>
    <n v="2348"/>
    <x v="19"/>
    <s v="FDOT/ Lee County"/>
    <s v="LA-10"/>
    <s v="West Marsh Preserve"/>
    <s v="Wetland rehydration and treatment."/>
    <s v="Hydrologic Restoration"/>
    <x v="3"/>
    <s v="2017"/>
    <s v="2020"/>
    <s v="TBD"/>
    <s v="TBD"/>
    <s v="Tidal Caloosahatchee"/>
    <n v="32555"/>
    <n v="12000000"/>
    <s v="TBD"/>
    <s v="LA-MSID/ FDOT/ Lee County"/>
    <s v="LA-MSID - $2,368,300/ FDOT - $5,000,000/ Lee County - $4,631,700"/>
    <s v="N/A"/>
    <s v="Not provided"/>
    <n v="26.648128549999999"/>
    <n v="-81.702494020000003"/>
    <s v="N/A"/>
    <m/>
    <s v="Structural"/>
    <m/>
    <n v="2017"/>
    <n v="913.98788000000002"/>
    <s v="N/A"/>
    <n v="3"/>
  </r>
  <r>
    <n v="2347"/>
    <x v="19"/>
    <s v="NRCS/ FEMA"/>
    <s v="LA-11"/>
    <s v="S-H-2 Weir Replacement"/>
    <s v="Replace failed fabriform weir."/>
    <s v="Control Structure"/>
    <x v="3"/>
    <s v="2018"/>
    <s v="2019"/>
    <n v="75.722903126017727"/>
    <n v="7.7905534450236535"/>
    <s v="West Caloosahatchee"/>
    <n v="1100"/>
    <n v="675000"/>
    <s v="TBD"/>
    <s v="NRCS/ FEMA/ LA-MSID"/>
    <s v="TBD"/>
    <s v="TBD"/>
    <s v="N/A"/>
    <s v="Not provided"/>
    <s v="Not provided"/>
    <s v="N/A"/>
    <m/>
    <s v="Structural"/>
    <m/>
    <n v="2017"/>
    <s v="TBD"/>
    <s v="TBD"/>
    <m/>
  </r>
  <r>
    <n v="2346"/>
    <x v="19"/>
    <s v="FDOT"/>
    <s v="LA-12"/>
    <s v="Hendry Canal Widening"/>
    <s v="Widen three miles of Hendry Ext. Canal. Create additional stormwater storage within the canal system."/>
    <s v="Hydrologic Restoration"/>
    <x v="3"/>
    <s v="2020"/>
    <s v="2021"/>
    <s v="TBD"/>
    <s v="TBD"/>
    <s v="West Caloosahatchee"/>
    <n v="4100"/>
    <n v="5000000"/>
    <s v="TBD"/>
    <s v="LA-MSID/ FDOT"/>
    <s v="TBD"/>
    <s v="TBD"/>
    <s v="N/A"/>
    <n v="26.571535619999999"/>
    <n v="-81.565114050000005"/>
    <s v="N/A"/>
    <m/>
    <s v="Structural"/>
    <m/>
    <n v="2017"/>
    <s v="TBD"/>
    <s v="TBD"/>
    <m/>
  </r>
  <r>
    <n v="2282"/>
    <x v="20"/>
    <s v="N/A"/>
    <s v="LC-01"/>
    <s v="Yellow Fever Creek Preserve"/>
    <s v="Land purchase and conversion to conservation land use."/>
    <s v="Land Use Change"/>
    <x v="1"/>
    <s v="2012"/>
    <s v="2012"/>
    <n v="66.05215954825394"/>
    <n v="30.922124601592543"/>
    <s v="Tidal Caloosahatchee"/>
    <n v="220"/>
    <n v="3323506"/>
    <n v="11703"/>
    <s v="County"/>
    <s v="County - $3,323,506"/>
    <s v="N/A"/>
    <s v="N/A"/>
    <n v="26.710315000000001"/>
    <n v="-81.933828000000005"/>
    <s v="N/A"/>
    <m/>
    <s v="Non-structural"/>
    <s v="Completed"/>
    <n v="2012"/>
    <n v="14.514944"/>
    <s v="N/A"/>
    <m/>
  </r>
  <r>
    <n v="2293"/>
    <x v="20"/>
    <s v="N/A"/>
    <s v="LC-02"/>
    <s v="Billy's Creek Preserve"/>
    <s v="Land purchase and conversion to conservation land use."/>
    <s v="Land Use Change"/>
    <x v="1"/>
    <s v="2012"/>
    <s v="2012"/>
    <n v="46.555076842230449"/>
    <n v="1.6464117536248359"/>
    <s v="Tidal Caloosahatchee"/>
    <n v="50.7"/>
    <n v="2500000"/>
    <s v="N/A"/>
    <s v="County"/>
    <s v="County - $2,500,000"/>
    <s v="N/A"/>
    <s v="N/A"/>
    <n v="26.662645000000001"/>
    <n v="-81.824427999999997"/>
    <s v="N/A"/>
    <m/>
    <s v="Non-structural"/>
    <s v="Completed"/>
    <n v="2012"/>
    <n v="7.7110640000000004"/>
    <s v="N/A"/>
    <m/>
  </r>
  <r>
    <n v="2284"/>
    <x v="20"/>
    <s v="SFWMD"/>
    <s v="LC-03"/>
    <s v="Six Mile Cypress Preserve"/>
    <s v="Land purchase and conversion to conservation land use."/>
    <s v="Land Use Change"/>
    <x v="1"/>
    <s v="2012"/>
    <s v="2012"/>
    <n v="1625.8593484607027"/>
    <n v="58.864275999135259"/>
    <s v="Tidal Caloosahatchee"/>
    <n v="1219"/>
    <n v="71475196"/>
    <n v="149212"/>
    <s v="County/ SFWMD"/>
    <s v="Not provided"/>
    <s v="N/A"/>
    <s v="N/A"/>
    <s v="26.570475"/>
    <s v="-81.796735"/>
    <s v="N/A"/>
    <m/>
    <s v="Non-structural"/>
    <s v="Completed"/>
    <n v="2012"/>
    <n v="5.8966960000000004"/>
    <s v="N/A"/>
    <m/>
  </r>
  <r>
    <n v="2275"/>
    <x v="20"/>
    <s v="SFWMD/ National Oceanic and Atmospheric Administration (NOAA)"/>
    <s v="LC-04"/>
    <s v="Bob Jane's Preserve"/>
    <s v="Land purchase and conversion to conservation land use."/>
    <s v="Land Use Change"/>
    <x v="1"/>
    <s v="2012"/>
    <s v="2012"/>
    <n v="14714.028783389726"/>
    <n v="495.26794306448346"/>
    <s v="Tidal Caloosahatchee; West Caloosahatchee"/>
    <n v="1978.9"/>
    <n v="41538620"/>
    <n v="639924"/>
    <s v="County/ SFWMD/ NOAA"/>
    <s v="Not provided"/>
    <s v="N/A"/>
    <s v="N/A"/>
    <n v="26.754301999999999"/>
    <n v="-81.655325000000005"/>
    <s v="N/A"/>
    <m/>
    <s v="Non-structural"/>
    <s v="Completed"/>
    <n v="2012"/>
    <n v="0"/>
    <s v="N/A"/>
    <m/>
  </r>
  <r>
    <n v="2286"/>
    <x v="20"/>
    <s v="N/A"/>
    <s v="LC-05"/>
    <s v="Buckingham Trails Preserve"/>
    <s v="Land purchase and conversion to conservation land use."/>
    <s v="Land Use Change"/>
    <x v="1"/>
    <s v="2012"/>
    <s v="2012"/>
    <n v="1814.5154663232602"/>
    <n v="68.357280409397674"/>
    <s v="Tidal Caloosahatchee"/>
    <n v="575.5"/>
    <n v="12584000"/>
    <n v="18708"/>
    <s v="County"/>
    <s v="County - $12,584,000"/>
    <s v="N/A"/>
    <s v="N/A"/>
    <n v="26.637291000000001"/>
    <n v="-81.739155999999994"/>
    <s v="N/A"/>
    <m/>
    <s v="Non-structural"/>
    <s v="Completed"/>
    <n v="2012"/>
    <n v="5.8966960000000004"/>
    <s v="N/A"/>
    <m/>
  </r>
  <r>
    <n v="2287"/>
    <x v="20"/>
    <s v="Florida Communities Trust (FCT)"/>
    <s v="LC-06"/>
    <s v="Caloosahatchee Creeks Preserve"/>
    <s v="Land purchase and conversion to conservation land use."/>
    <s v="Land Use Change"/>
    <x v="1"/>
    <s v="2012"/>
    <s v="2012"/>
    <n v="88.542392779391776"/>
    <n v="11.290510821573747"/>
    <s v="Tidal Caloosahatchee"/>
    <n v="911.3"/>
    <n v="8175706"/>
    <n v="81323"/>
    <s v="County"/>
    <s v="County - $8,175,706"/>
    <s v="N/A"/>
    <s v="N/A"/>
    <n v="26.703710999999998"/>
    <n v="-81.793069000000003"/>
    <s v="N/A"/>
    <m/>
    <s v="Non-structural"/>
    <s v="Completed"/>
    <n v="2012"/>
    <n v="6.8038799999999995"/>
    <s v="N/A"/>
    <m/>
  </r>
  <r>
    <n v="2264"/>
    <x v="20"/>
    <s v="N/A"/>
    <s v="LC-07"/>
    <s v="Deep Lagoon Preserve"/>
    <s v="Land purchase and conversion to conservation land use."/>
    <s v="Land Use Change"/>
    <x v="1"/>
    <s v="2012"/>
    <s v="2012"/>
    <n v="144.05997969276132"/>
    <n v="10.42818769475538"/>
    <s v="Tidal Caloosahatchee"/>
    <n v="117"/>
    <n v="4475664.2300000004"/>
    <n v="9915"/>
    <s v="County"/>
    <s v="County - $4,475,664"/>
    <s v="N/A"/>
    <s v="N/A"/>
    <n v="26.527190999999998"/>
    <n v="-81.921706999999998"/>
    <s v="N/A"/>
    <m/>
    <s v="Non-structural"/>
    <s v="Completed"/>
    <n v="2012"/>
    <n v="1.360776"/>
    <s v="N/A"/>
    <m/>
  </r>
  <r>
    <n v="2288"/>
    <x v="20"/>
    <s v="N/A"/>
    <s v="LC-08"/>
    <s v="Hickory Swamp Preserve"/>
    <s v="Land purchase and conversion to conservation land use."/>
    <s v="Land Use Change"/>
    <x v="1"/>
    <s v="2012"/>
    <s v="2012"/>
    <n v="225.68547556334715"/>
    <n v="8.517309877018878"/>
    <s v="Tidal Caloosahatchee"/>
    <n v="67.2"/>
    <n v="467000"/>
    <n v="3856"/>
    <s v="County"/>
    <s v="County - $467,000"/>
    <s v="N/A"/>
    <s v="N/A"/>
    <n v="26.665234000000002"/>
    <n v="-81.738647"/>
    <s v="N/A"/>
    <m/>
    <s v="Non-structural"/>
    <s v="Completed"/>
    <n v="2012"/>
    <n v="1.360776"/>
    <s v="N/A"/>
    <m/>
  </r>
  <r>
    <n v="2252"/>
    <x v="20"/>
    <s v="N/A"/>
    <s v="LC-09"/>
    <s v="Orange River Preserve"/>
    <s v="Land purchase and conversion to conservation land use."/>
    <s v="Land Use Change"/>
    <x v="1"/>
    <s v="2012"/>
    <s v="2012"/>
    <n v="6.5437556569845583"/>
    <n v="1.2870802112779369"/>
    <s v="Tidal Caloosahatchee"/>
    <n v="59.1"/>
    <n v="1755000"/>
    <n v="2966"/>
    <s v="County"/>
    <s v="County - $1,755,000"/>
    <s v="N/A"/>
    <s v="N/A"/>
    <n v="26.690852"/>
    <n v="-81.783652000000004"/>
    <s v="N/A"/>
    <m/>
    <s v="Non-structural"/>
    <s v="Completed"/>
    <n v="2012"/>
    <n v="1.360776"/>
    <s v="N/A"/>
    <m/>
  </r>
  <r>
    <n v="2290"/>
    <x v="20"/>
    <s v="FCT"/>
    <s v="LC-10"/>
    <s v="Prairie Pines Preserve"/>
    <s v="Land purchase and conversion to conservation land use."/>
    <s v="Land Use Change"/>
    <x v="1"/>
    <s v="2012"/>
    <s v="2012"/>
    <n v="7.4696171764458086E-2"/>
    <n v="1.9789510702473478E-2"/>
    <s v="Tidal Caloosahatchee"/>
    <n v="330.9"/>
    <n v="11790529.949999999"/>
    <n v="190454"/>
    <s v="County"/>
    <s v="County - $11,790,530"/>
    <s v="N/A"/>
    <s v="N/A"/>
    <n v="26.742021000000001"/>
    <n v="-81.876716000000002"/>
    <s v="N/A"/>
    <m/>
    <s v="Non-structural"/>
    <s v="Completed"/>
    <n v="2012"/>
    <n v="1.360776"/>
    <s v="N/A"/>
    <m/>
  </r>
  <r>
    <n v="2291"/>
    <x v="20"/>
    <s v="N/A"/>
    <s v="LC-11"/>
    <s v="Telegraph Creek Preserve"/>
    <s v="Land purchase and conversion to conservation land use."/>
    <s v="Land Use Change"/>
    <x v="1"/>
    <s v="2012"/>
    <s v="2012"/>
    <n v="4676.2257618141539"/>
    <n v="139.67865558403116"/>
    <s v="Tidal Caloosahatchee"/>
    <n v="1715.1"/>
    <n v="23900000"/>
    <n v="54639"/>
    <s v="County"/>
    <s v="County - $23,900,000"/>
    <s v="N/A"/>
    <s v="N/A"/>
    <n v="26.744064000000002"/>
    <n v="-81.696723000000006"/>
    <s v="N/A"/>
    <m/>
    <s v="Non-structural"/>
    <s v="Completed"/>
    <n v="2012"/>
    <n v="0"/>
    <s v="N/A"/>
    <m/>
  </r>
  <r>
    <n v="2283"/>
    <x v="20"/>
    <s v="N/A"/>
    <s v="LC-12"/>
    <s v="West Marsh Preserve"/>
    <s v="Land purchase and conversion to conservation land use."/>
    <s v="Land Use Change"/>
    <x v="1"/>
    <s v="2012"/>
    <s v="2012"/>
    <n v="148.00277321217226"/>
    <n v="41.346565624486509"/>
    <s v="Tidal Caloosahatchee"/>
    <n v="218.1"/>
    <n v="4631625"/>
    <s v="N/A"/>
    <s v="County"/>
    <s v="County - $4,631,625"/>
    <s v="N/A"/>
    <s v="N/A"/>
    <n v="26.647427"/>
    <n v="-81.705286999999998"/>
    <s v="N/A"/>
    <m/>
    <s v="Non-structural"/>
    <s v="Completed"/>
    <n v="2012"/>
    <n v="1.360776"/>
    <s v="N/A"/>
    <m/>
  </r>
  <r>
    <n v="2258"/>
    <x v="20"/>
    <s v="N/A"/>
    <s v="LC-13"/>
    <s v="Yellow Fever Creek Preserve"/>
    <s v="Land purchase and conversion to conservation land use."/>
    <s v="Land Use Change"/>
    <x v="1"/>
    <s v="2012"/>
    <s v="2012"/>
    <n v="34.096796427158893"/>
    <n v="48.356621755709448"/>
    <s v="Tidal Caloosahatchee"/>
    <n v="117.8"/>
    <n v="3323506.74"/>
    <n v="11703"/>
    <s v="County"/>
    <s v="County - $3,323,507"/>
    <s v="N/A"/>
    <s v="N/A"/>
    <n v="26.709429"/>
    <n v="-81.933543999999998"/>
    <s v="N/A"/>
    <m/>
    <s v="Non-structural"/>
    <s v="Completed"/>
    <n v="2012"/>
    <n v="0"/>
    <s v="N/A"/>
    <m/>
  </r>
  <r>
    <n v="2268"/>
    <x v="20"/>
    <s v="UF–IFAS Lee County Extension"/>
    <s v="LC-15"/>
    <s v="Education Efforts"/>
    <s v="FYN; landscape, irrigation, and fertilizer ordinances; pamphlets, PSAs, website, illicit discharge program; WETPLAN."/>
    <s v="Education Efforts"/>
    <x v="2"/>
    <s v="Prior to 2012"/>
    <s v="N/A"/>
    <n v="12957.46859635798"/>
    <n v="4993.8662873840367"/>
    <s v="Tidal Caloosahatchee"/>
    <s v="N/A"/>
    <n v="392441"/>
    <n v="125000"/>
    <s v="County"/>
    <s v="County - $12,000"/>
    <s v="NF060"/>
    <s v="N/A"/>
    <s v="26.652749"/>
    <s v="-81.776875"/>
    <s v="N/A"/>
    <m/>
    <s v="Non-structural"/>
    <s v="Ongoing"/>
    <n v="2012"/>
    <n v="9273.6884399999999"/>
    <s v="N/A"/>
    <m/>
  </r>
  <r>
    <n v="2272"/>
    <x v="20"/>
    <s v="N/A"/>
    <s v="LC-16"/>
    <s v="Street Sweeping"/>
    <s v="Materials from roadway and gutter sweeping."/>
    <s v="Street Sweeping"/>
    <x v="2"/>
    <s v="2000"/>
    <s v="N/A"/>
    <n v="571.80118023027933"/>
    <n v="374.13414835944224"/>
    <s v="Tidal Caloosahatchee"/>
    <s v="N/A"/>
    <n v="694176"/>
    <n v="248572.3"/>
    <s v="County"/>
    <s v="N/A"/>
    <s v="N/A"/>
    <s v="N/A"/>
    <s v="N/A"/>
    <s v="N/A"/>
    <s v="N/A"/>
    <m/>
    <s v="Non-structural"/>
    <s v="Ongoing"/>
    <n v="2012"/>
    <n v="269.88724000000002"/>
    <s v="N/A"/>
    <m/>
  </r>
  <r>
    <n v="2273"/>
    <x v="20"/>
    <s v="N/A"/>
    <s v="LC-17"/>
    <s v="North Fort Myers Surface Water Restoration: Powell Creek Extension and Lost Lane Levee"/>
    <s v="Conveyance improvements to increase residence time, rehydrate offsite wetlands on adjacent properties, and accommodate offsite flows."/>
    <s v="Hydrologic Restoration"/>
    <x v="1"/>
    <s v="Prior to 2012"/>
    <s v="2013"/>
    <n v="13638.332035764297"/>
    <n v="3535.7929785389233"/>
    <s v="Tidal Caloosahatchee"/>
    <n v="397.1"/>
    <n v="3485817"/>
    <n v="17101"/>
    <s v="County"/>
    <s v="N/A"/>
    <s v="N/A"/>
    <s v="N/A"/>
    <n v="26.738579000000001"/>
    <n v="-81.871095999999994"/>
    <s v="N/A"/>
    <m/>
    <s v="Structural"/>
    <s v="Completed"/>
    <n v="2012"/>
    <n v="1349.8897919999999"/>
    <s v="N/A"/>
    <m/>
  </r>
  <r>
    <n v="2289"/>
    <x v="20"/>
    <s v="N/A"/>
    <s v="LC-18"/>
    <s v="Whiskey Creek Weir Reconstruction"/>
    <s v="Retention lake weir repairs to restore originally intended design and operation."/>
    <s v="Control Structure"/>
    <x v="1"/>
    <s v="Prior to 2012"/>
    <s v="Prior to 2012"/>
    <n v="27712.185154679402"/>
    <n v="9113.0035318918763"/>
    <s v="Tidal Caloosahatchee"/>
    <n v="549.6"/>
    <s v="N/A"/>
    <s v="N/A"/>
    <s v="County"/>
    <s v="N/A"/>
    <s v="N/A"/>
    <s v="N/A"/>
    <n v="26.575157999999998"/>
    <n v="-81.892427999999995"/>
    <s v="N/A"/>
    <m/>
    <s v="Structural"/>
    <s v="Completed"/>
    <n v="2012"/>
    <n v="1525.8834879999999"/>
    <s v="N/A"/>
    <m/>
  </r>
  <r>
    <n v="2271"/>
    <x v="20"/>
    <s v="SFWMD/ U.S. Fish and Wildlife Service (FWS)"/>
    <s v="LC-19"/>
    <s v="Caloosahatchee Creeks East"/>
    <s v="Hydrologic restoration."/>
    <s v="Hydrologic Restoration"/>
    <x v="1"/>
    <s v="Prior to 2012"/>
    <s v="Prior to 2012"/>
    <n v="248.49752398516296"/>
    <n v="20.107639452434384"/>
    <s v="Tidal Caloosahatchee"/>
    <n v="6567.4"/>
    <n v="326955"/>
    <s v="N/A"/>
    <s v="County/ SFWMD/ FWS"/>
    <s v="$95,000"/>
    <s v="N/A"/>
    <s v="36-06163-P"/>
    <n v="26.703710999999998"/>
    <n v="-81.793069000000003"/>
    <s v="N/A"/>
    <m/>
    <s v="Structural"/>
    <s v="Completed"/>
    <n v="2012"/>
    <n v="1928.2195919999999"/>
    <s v="N/A"/>
    <m/>
  </r>
  <r>
    <n v="2270"/>
    <x v="20"/>
    <s v="DEP/ SFWMD"/>
    <s v="LC-20"/>
    <s v="Powell Creek Filter Marsh"/>
    <s v="Created wetland areas, boardwalks, and trails and a stabilized crossing of Powell Creek."/>
    <s v="Constructed Wetland Treatment"/>
    <x v="1"/>
    <s v="Prior to 2012"/>
    <s v="2013"/>
    <n v="5244.675772773975"/>
    <n v="2053.0619487093727"/>
    <s v="Tidal Caloosahatchee"/>
    <n v="1169.5999999999999"/>
    <n v="1440000"/>
    <n v="38395"/>
    <s v="County/ DEP"/>
    <s v="$1,025,000"/>
    <s v="S0606"/>
    <s v="N/A"/>
    <n v="26.691058999999999"/>
    <n v="-81.867694999999998"/>
    <s v="N/A"/>
    <m/>
    <s v="Structural"/>
    <s v="Completed"/>
    <n v="2012"/>
    <n v="767.93125599999996"/>
    <s v="N/A"/>
    <m/>
  </r>
  <r>
    <n v="2269"/>
    <x v="20"/>
    <s v="DEP"/>
    <s v="LC-21"/>
    <s v="Nalle Grade Stormwater Park"/>
    <s v="Dry retention and wet detention ponds."/>
    <s v="Stormwater Treatment Areas (STAs)"/>
    <x v="3"/>
    <s v="2019"/>
    <s v="2021"/>
    <n v="12084.348998984902"/>
    <n v="1027.302150234586"/>
    <s v="Tidal Caloosahatchee"/>
    <n v="720.36"/>
    <n v="3500000"/>
    <s v="TBD"/>
    <s v="County/ DEP"/>
    <s v="DEP - $500,000"/>
    <s v="S0727"/>
    <s v="N/A"/>
    <n v="26.753631899999998"/>
    <n v="-81.821141109999999"/>
    <s v="N/A"/>
    <m/>
    <s v="Structural"/>
    <s v="Future"/>
    <n v="2012"/>
    <n v="624.59618399999999"/>
    <s v="N/A"/>
    <m/>
  </r>
  <r>
    <m/>
    <x v="19"/>
    <s v="Not provided"/>
    <s v="LA-13"/>
    <s v="CREST"/>
    <s v="Purchased 100 acres agricultural land to construct STA."/>
    <s v="Land Use Change"/>
    <x v="1"/>
    <s v="2018"/>
    <s v="2018"/>
    <n v="376.56605817548927"/>
    <n v="70.243951754660188"/>
    <s v="West Caloosahatchee"/>
    <n v="103.52288594552769"/>
    <n v="255800"/>
    <s v="Not provided"/>
    <s v="LA-MSID"/>
    <s v="$255,800"/>
    <s v="N/A"/>
    <s v="N/A"/>
    <n v="26.644829999999999"/>
    <n v="-81.522099999999995"/>
    <s v="N/A"/>
    <s v="TBD"/>
    <s v="Non-structural"/>
    <m/>
    <n v="2020"/>
    <s v="N/A"/>
    <s v="N/A"/>
    <m/>
  </r>
  <r>
    <n v="2259"/>
    <x v="20"/>
    <s v="SFWMD"/>
    <s v="LC-22"/>
    <s v="Deep Lagoon Hydrologic Restoration"/>
    <s v="Hydrologic restoration and enhancement, water conservation, wildlife habitat enhancement, and flood protection for surrounding area."/>
    <s v="Hydrologic Restoration"/>
    <x v="1"/>
    <s v="Prior to 2012"/>
    <s v="Prior to 2012"/>
    <n v="144.34089922384274"/>
    <n v="26.367895419543377"/>
    <s v="Tidal Caloosahatchee"/>
    <n v="1022.1"/>
    <n v="210959"/>
    <s v="N/A"/>
    <s v="County/ SFWMD"/>
    <s v="County - $78,500/ SFWMD - $102,071"/>
    <s v="N/A"/>
    <s v="4600001404/ 4600002055"/>
    <n v="26.528694999999999"/>
    <n v="-81.924712999999997"/>
    <s v="N/A"/>
    <m/>
    <s v="Structural"/>
    <s v="Completed"/>
    <n v="2012"/>
    <n v="1404.774424"/>
    <s v="N/A"/>
    <m/>
  </r>
  <r>
    <n v="2260"/>
    <x v="20"/>
    <s v="DEP"/>
    <s v="LC-23"/>
    <s v="Popash Creek Restoration"/>
    <s v="Hydrologic restoration to more natural flow regime by increasing water storage on property and improving both onsite and off-site flows."/>
    <s v="Hydrologic Restoration"/>
    <x v="1"/>
    <s v="Prior to 2012"/>
    <s v="Prior to 2012"/>
    <n v="271.72196441304749"/>
    <n v="43.94309575370329"/>
    <s v="Tidal Caloosahatchee"/>
    <n v="3517"/>
    <n v="1726625"/>
    <n v="16920"/>
    <s v="County/ DEP"/>
    <s v="$1,726,625"/>
    <s v="LP6838"/>
    <s v="N/A"/>
    <n v="26.758918999999999"/>
    <n v="-81.805657999999994"/>
    <s v="N/A"/>
    <m/>
    <s v="Structural"/>
    <s v="Completed"/>
    <n v="2012"/>
    <n v="2991.892832"/>
    <s v="N/A"/>
    <m/>
  </r>
  <r>
    <n v="2261"/>
    <x v="20"/>
    <s v="City of Fort Myers"/>
    <s v="LC-24"/>
    <s v="Billy's Creek Wetland"/>
    <s v="Billy Creek Filter Marsh Park."/>
    <s v="Constructed Wetland Treatment"/>
    <x v="1"/>
    <s v="Prior to 2012"/>
    <s v="Prior to 2012"/>
    <n v="948"/>
    <n v="807"/>
    <s v="Tidal Caloosahatchee"/>
    <n v="1632"/>
    <n v="2500000"/>
    <s v="N/A"/>
    <s v="County/ City of Fort Myers"/>
    <s v="$2,500,000"/>
    <s v="N/A"/>
    <s v="N/A"/>
    <n v="26.662645000000001"/>
    <n v="-81.824427999999997"/>
    <s v="N/A"/>
    <m/>
    <s v="Structural"/>
    <s v="Completed"/>
    <n v="2012"/>
    <n v="1217.440928"/>
    <s v="N/A"/>
    <m/>
  </r>
  <r>
    <n v="2262"/>
    <x v="20"/>
    <s v="DEP"/>
    <s v="LC-25"/>
    <s v="Caloosahatchee Creeks Preserve–West Restoration"/>
    <s v="Hydrologic restoration."/>
    <s v="Hydrologic Restoration"/>
    <x v="1"/>
    <s v="2015"/>
    <s v="2016"/>
    <n v="16185.209262199154"/>
    <n v="1368.2592402740279"/>
    <s v="Tidal Caloosahatchee"/>
    <n v="1295"/>
    <n v="250000"/>
    <s v="N/A"/>
    <s v="County/ DEP"/>
    <s v="$250,000"/>
    <s v="S0849"/>
    <s v="N/A"/>
    <n v="26.703014"/>
    <n v="-81.809533999999999"/>
    <s v="N/A"/>
    <m/>
    <s v="Structural"/>
    <s v="Future"/>
    <n v="2015"/>
    <n v="49.895119999999999"/>
    <s v="N/A"/>
    <m/>
  </r>
  <r>
    <n v="2263"/>
    <x v="20"/>
    <s v="DEP"/>
    <s v="LC-26"/>
    <s v="Yellow Fever Creek – Gator Slough Transfer Facility"/>
    <s v="Return historical flow from Gator Slough Canal system to Yellow Fever Creek. There are 114 acres in the BMAP being treated by this project, there are additional areas being treated outside of the BMAP boundary."/>
    <s v="Hydrologic Restoration"/>
    <x v="0"/>
    <s v="2021"/>
    <s v="2021"/>
    <n v="102.5"/>
    <n v="118.4"/>
    <s v="Tidal Caloosahatchee"/>
    <n v="114"/>
    <s v="TBD"/>
    <s v="TBD"/>
    <s v="County/ DEP"/>
    <s v="County - $175,000/ DEP - 817,000"/>
    <s v="S0840/ LPQ0012"/>
    <s v="N/A"/>
    <n v="26.713912000000001"/>
    <n v="-81.933902000000003"/>
    <s v="N/A"/>
    <m/>
    <s v="Structural"/>
    <s v="Future"/>
    <n v="2015"/>
    <s v="TBD"/>
    <s v="N/A"/>
    <m/>
  </r>
  <r>
    <n v="2274"/>
    <x v="20"/>
    <s v="DEP"/>
    <s v="LC-27"/>
    <s v="Prairie Pines Preserve Restoration"/>
    <s v="Restoration of historical flows and enhancement and restoration of wetlands."/>
    <s v="Hydrologic Restoration"/>
    <x v="1"/>
    <s v="2018"/>
    <s v="2018"/>
    <n v="10356.13080315934"/>
    <n v="837.46594792145606"/>
    <s v="Tidal Caloosahatchee"/>
    <n v="2334"/>
    <n v="600000"/>
    <n v="28295"/>
    <s v="County/ DEP"/>
    <s v="DEP - $300,000"/>
    <s v="S0895"/>
    <s v="N/A"/>
    <n v="26.732617000000001"/>
    <n v="-81.909439000000006"/>
    <s v="N/A"/>
    <m/>
    <s v="Structural"/>
    <s v="Construction in 2017"/>
    <n v="2016"/>
    <s v="TBD"/>
    <s v="N/A"/>
    <m/>
  </r>
  <r>
    <n v="2265"/>
    <x v="20"/>
    <s v="N/A"/>
    <s v="LC-28"/>
    <s v="BMAP Plan Development – Basin Study"/>
    <s v="Basin study to identify pollutant sources and identify further actions to reach reduction goals."/>
    <s v="Study"/>
    <x v="1"/>
    <s v="2016"/>
    <s v="2017"/>
    <s v="N/A"/>
    <s v="N/A"/>
    <s v="Tidal Caloosahatchee"/>
    <s v="N/A"/>
    <n v="195831"/>
    <s v="N/A"/>
    <s v="County"/>
    <s v="County - $195,831"/>
    <s v="N/A"/>
    <s v="N/A"/>
    <n v="26.652749"/>
    <n v="-81.776875000000004"/>
    <s v="N/A"/>
    <m/>
    <s v="Non-structural"/>
    <m/>
    <n v="2016"/>
    <s v="N/A"/>
    <s v="N/A"/>
    <m/>
  </r>
  <r>
    <n v="2257"/>
    <x v="20"/>
    <s v="N/A"/>
    <s v="LC-29"/>
    <s v="Caloosahatchee River-North Fort Myers Nutrient and Bacteria Source Identification Study"/>
    <s v="Watershed study to investigate interactions between onsite sewage treatment and disposal systems (OSTDS), groundwater, and surface water in Caloosahatchee Estuary."/>
    <s v="Study"/>
    <x v="1"/>
    <s v="2017"/>
    <s v="2020"/>
    <s v="N/A"/>
    <s v="N/A"/>
    <s v="Tidal Caloosahatchee"/>
    <s v="N/A"/>
    <n v="181352"/>
    <s v="N/A"/>
    <s v="County/ DEP"/>
    <s v="DEP - $89,964"/>
    <s v="NF047"/>
    <s v="N/A"/>
    <n v="26.652749"/>
    <n v="-81.776875000000004"/>
    <s v="N/A"/>
    <m/>
    <s v="Non-structural"/>
    <m/>
    <n v="2016"/>
    <s v="N/A"/>
    <s v="N/A"/>
    <m/>
  </r>
  <r>
    <m/>
    <x v="19"/>
    <s v="Not provided"/>
    <s v="LA-14"/>
    <s v="CREST"/>
    <s v="Construct STA."/>
    <s v="Stormwater Treatment Areas (STAs)"/>
    <x v="3"/>
    <s v="2021"/>
    <s v="2025"/>
    <n v="14256.496394166274"/>
    <n v="2731.8752497075889"/>
    <s v="West Caloosahatchee"/>
    <n v="12904.120330021264"/>
    <n v="5000000"/>
    <s v="Not provided"/>
    <s v="TBD"/>
    <s v="Not provided"/>
    <s v="TBD"/>
    <s v="Not provided"/>
    <n v="26.644829999999999"/>
    <n v="-81.522099999999995"/>
    <s v="N/A"/>
    <s v="TBD"/>
    <s v="Structural"/>
    <m/>
    <n v="2020"/>
    <s v="N/A"/>
    <s v="N/A"/>
    <m/>
  </r>
  <r>
    <n v="2267"/>
    <x v="20"/>
    <s v="N/A"/>
    <s v="LC-30"/>
    <s v="Waterway Estates Wastewater Treatment Facility (WWTF) Closure"/>
    <s v="Closure of facility with direct discharge to Caloosahatchee."/>
    <s v="WWTF Diversion to Reuse"/>
    <x v="1"/>
    <s v="2012"/>
    <s v="2012"/>
    <n v="295.03018879108532"/>
    <s v="TBD"/>
    <s v="Tidal Caloosahatchee"/>
    <s v="N/A"/>
    <n v="61565"/>
    <s v="N/A"/>
    <s v="County"/>
    <s v="County - $61,565"/>
    <s v="N/A"/>
    <s v="N/A"/>
    <n v="26.6393111"/>
    <n v="-81.908910359999993"/>
    <s v="N/A"/>
    <m/>
    <s v="Structural"/>
    <m/>
    <n v="2017"/>
    <n v="139.25274400000001"/>
    <s v="N/A"/>
    <m/>
  </r>
  <r>
    <n v="2357"/>
    <x v="20"/>
    <s v="SFWMD/ FDOT"/>
    <s v="LC-31"/>
    <s v="Six Mile Cypress Preserve North Hydrologic Restoration"/>
    <s v="Wetland creation, addition of control structures, berms, berm breaches to connect natural and created wetlands, and restoration of historical hydrologic conditions to reduce discharge into Caloosahatchee River."/>
    <s v="Hydrologic Restoration"/>
    <x v="1"/>
    <s v="2013"/>
    <s v="2013"/>
    <n v="724.60603567228372"/>
    <n v="194.35260335405403"/>
    <s v="Tidal Caloosahatchee"/>
    <n v="1874"/>
    <n v="2060768"/>
    <n v="70260"/>
    <s v="County/ SFWMD/ FDOT"/>
    <s v="County - $1,493,268/ SFWMD - $450,000/ FDOT - $117,500"/>
    <s v="N/A"/>
    <n v="4600002716"/>
    <n v="26.638532000000001"/>
    <n v="-81.778206999999995"/>
    <s v="N/A"/>
    <m/>
    <s v="Structural"/>
    <m/>
    <n v="2017"/>
    <s v="TBD"/>
    <s v="TBD"/>
    <m/>
  </r>
  <r>
    <n v="2356"/>
    <x v="20"/>
    <s v="DEP/ SFWMD"/>
    <s v="LC-32"/>
    <s v="Bob Jane's Preserve Environmental Restoration"/>
    <s v="Hydrologic improvements in portion of preserve via berms, beaches, and ditch blocks."/>
    <s v="Hydrologic Restoration"/>
    <x v="1"/>
    <s v="Not provided"/>
    <s v="2017"/>
    <n v="1216.3985676407892"/>
    <n v="118.72308819208398"/>
    <s v="Tidal Caloosahatchee; West Caloosahatchee"/>
    <s v="N/A"/>
    <n v="200000"/>
    <s v="N/A"/>
    <s v="County/ DEP/ SFWMD"/>
    <s v="$100,000"/>
    <s v="S0871"/>
    <s v="N/A"/>
    <n v="26.754301999999999"/>
    <n v="-81.655325000000005"/>
    <s v="N/A"/>
    <m/>
    <s v="Structural"/>
    <m/>
    <n v="2017"/>
    <s v="TBD"/>
    <s v="N/A"/>
    <m/>
  </r>
  <r>
    <m/>
    <x v="21"/>
    <s v="DEP"/>
    <s v="LB-01"/>
    <s v="City of LaBelle Zone J Septic Tank to Central Sewer"/>
    <s v="Septic tank conversion project that will consist of a pump station, force main and gravity sewer to provide an estimated 55 customers (area buildout) with sanitary sewer."/>
    <s v="Wastewater Service Area Expansion"/>
    <x v="3"/>
    <s v="2019"/>
    <s v="2021"/>
    <n v="242.84366899670178"/>
    <s v="N/A"/>
    <s v="Caloosahatchee BMAP"/>
    <n v="22"/>
    <n v="908000"/>
    <s v="TBD"/>
    <s v="DEP/ City"/>
    <s v="$908,000"/>
    <s v="LPQ 0002"/>
    <s v="N/A"/>
    <n v="26.766285"/>
    <n v="-81.443199000000007"/>
    <s v="N/A"/>
    <s v="N/A"/>
    <s v="Structural"/>
    <m/>
    <n v="2020"/>
    <s v="N/A"/>
    <s v="N/A"/>
    <m/>
  </r>
  <r>
    <n v="2239"/>
    <x v="20"/>
    <s v="DEP"/>
    <s v="LC-33"/>
    <s v="Telegraph Creek Preserve"/>
    <s v="Ditch blocks and native plantings in conveyances."/>
    <s v="Hydrologic Restoration"/>
    <x v="1"/>
    <s v="2016"/>
    <s v="2017"/>
    <n v="421.09349076693036"/>
    <n v="43.785945723380522"/>
    <s v="Tidal Caloosahatchee"/>
    <s v="N/A"/>
    <n v="107337"/>
    <n v="54639"/>
    <s v="County/ DEP"/>
    <s v="$125,000"/>
    <s v="S0873"/>
    <s v="N/A"/>
    <n v="26.744064000000002"/>
    <n v="-81.696723000000006"/>
    <s v="N/A"/>
    <m/>
    <s v="Structural"/>
    <m/>
    <n v="2017"/>
    <s v="TBD"/>
    <s v="N/A"/>
    <m/>
  </r>
  <r>
    <n v="2238"/>
    <x v="20"/>
    <s v="LA-MSID/ FDOT"/>
    <s v="LC-34"/>
    <s v="West Harnes Marsh"/>
    <s v="Creation and enhancement of wetland marsh ecosystem, including hydraulic connection for water quality improvement and stormwater attenuation."/>
    <s v="Constructed Wetland Treatment"/>
    <x v="3"/>
    <s v="2018"/>
    <s v="2021"/>
    <s v="TBD"/>
    <s v="TBD"/>
    <s v="Tidal Caloosahatchee"/>
    <s v="TBD"/>
    <s v="TBD"/>
    <s v="TBD"/>
    <s v="County/ LA-MSID"/>
    <s v="N/A"/>
    <s v="N/A"/>
    <s v="N/A"/>
    <n v="26.647427"/>
    <n v="-81.705286999999998"/>
    <s v="N/A"/>
    <m/>
    <s v="Structural"/>
    <m/>
    <n v="2017"/>
    <s v="TBD"/>
    <s v="N/A"/>
    <m/>
  </r>
  <r>
    <n v="2243"/>
    <x v="20"/>
    <s v="DEP/ SFWMD"/>
    <s v="LC-35"/>
    <s v="C-43 Water Quality Treatment and Testing Facility Project (*study/land acquisition)"/>
    <s v="Project to demonstrate and implement cost-effective, wetland-based strategies for reduction of dissolved organic nitrogen (DON)."/>
    <s v="Study"/>
    <x v="3"/>
    <s v="2015"/>
    <s v="TBD"/>
    <s v="N/A"/>
    <s v="N/A"/>
    <s v="Tidal Caloosahatchee"/>
    <s v="N/A"/>
    <n v="10000000"/>
    <s v="N/A"/>
    <s v="County/ DEP/ SFWMD"/>
    <s v="N/A"/>
    <s v="N/A"/>
    <s v="N/A"/>
    <n v="26.700686000000001"/>
    <n v="-81.529159000000007"/>
    <s v="N/A"/>
    <m/>
    <s v="Non-structural"/>
    <m/>
    <n v="2017"/>
    <s v="N/A"/>
    <s v="N/A"/>
    <m/>
  </r>
  <r>
    <n v="2255"/>
    <x v="20"/>
    <s v="DEP/ SFWMD"/>
    <s v="LC-36"/>
    <s v="Fichter's Creek Restoration Project"/>
    <s v="Restoration of hydroperiod and water quality in Fichter's Creek."/>
    <s v="Hydrologic Restoration"/>
    <x v="1"/>
    <s v="2018"/>
    <s v="2018"/>
    <n v="1218.4432883749002"/>
    <n v="114.40798681264"/>
    <s v="West Caloosahatchee"/>
    <n v="4781"/>
    <n v="2000000"/>
    <n v="35000"/>
    <s v="County/ DEP/ SFWMD"/>
    <s v="DEP - $450,000/ SFWMD - $300,000"/>
    <s v="S0893"/>
    <n v="4600003525"/>
    <n v="26.73001"/>
    <n v="-81.662021999999993"/>
    <s v="N/A"/>
    <m/>
    <s v="Structural"/>
    <m/>
    <n v="2017"/>
    <n v="659.06917599999997"/>
    <s v="N/A"/>
    <m/>
  </r>
  <r>
    <n v="2292"/>
    <x v="20"/>
    <s v="DEP"/>
    <s v="LC-37"/>
    <s v="Spanish Creek at Daniel's Preserve Restoration"/>
    <s v="Restoration of wetland hydroperiod and sheet flow attenuation."/>
    <s v="Hydrologic Restoration"/>
    <x v="1"/>
    <s v="2014"/>
    <s v="2014"/>
    <n v="828.91361983327317"/>
    <n v="46.256859367211256"/>
    <s v="West Caloosahatchee"/>
    <n v="4030.6556338808919"/>
    <n v="400000"/>
    <n v="3000"/>
    <s v="County/ DEP"/>
    <s v="DEP - $650,602/ SFWMD - $80,000"/>
    <s v="S0732"/>
    <n v="4600002828"/>
    <n v="26.733933"/>
    <n v="-81.604478"/>
    <s v="N/A"/>
    <m/>
    <s v="Structural"/>
    <m/>
    <n v="2017"/>
    <n v="50.802303999999999"/>
    <s v="N/A"/>
    <m/>
  </r>
  <r>
    <n v="2285"/>
    <x v="20"/>
    <s v="N/A"/>
    <s v="LC-38"/>
    <s v="Deep Lagoon Pollutant Load Reduction Phase 2-Watershed Analysis Report"/>
    <s v="Basin study to identify pollutant sources and identify further actions to reach reduction goals."/>
    <s v="Study"/>
    <x v="1"/>
    <s v="2018"/>
    <s v="2018"/>
    <s v="N/A"/>
    <s v="N/A"/>
    <s v="Tidal Caloosahatchee"/>
    <s v="N/A"/>
    <n v="70000"/>
    <s v="N/A"/>
    <s v="County"/>
    <s v="N/A"/>
    <s v="N/A"/>
    <s v="N/A"/>
    <n v="26.519636999999999"/>
    <n v="-81.921543"/>
    <s v="N/A"/>
    <m/>
    <s v="Non-structural"/>
    <m/>
    <n v="2017"/>
    <s v="N/A"/>
    <s v="N/A"/>
    <m/>
  </r>
  <r>
    <n v="2276"/>
    <x v="20"/>
    <s v="DEP"/>
    <s v="LC-39"/>
    <s v="North Fort Myers Florida Power and Light (FPL) Feasibility Study"/>
    <s v="Study to identify areas of high nutrient loads and potential BMPs to improve water quality and reduce flooding."/>
    <s v="Study"/>
    <x v="1"/>
    <s v="2018"/>
    <s v="2019"/>
    <s v="N/A"/>
    <s v="N/A"/>
    <s v="Tidal Caloosahatchee"/>
    <s v="N/A"/>
    <n v="200000"/>
    <s v="N/A"/>
    <s v="County/ DEP"/>
    <s v="DEP - $200,000"/>
    <s v="S0894"/>
    <s v="N/A"/>
    <n v="26.661567000000002"/>
    <n v="-81.892679999999999"/>
    <s v="N/A"/>
    <m/>
    <s v="Non-structural"/>
    <m/>
    <n v="2017"/>
    <s v="N/A"/>
    <s v="N/A"/>
    <m/>
  </r>
  <r>
    <n v="2340"/>
    <x v="20"/>
    <s v="DEP"/>
    <s v="LC-40"/>
    <s v="Sunniland/Nine Mile Run Drainage Improvements"/>
    <s v="Replacement of failing water control structures (WCS) and reconnection of flow-ways to Hickory Swamp and Buckingham Trails Preserve."/>
    <s v="Hydrologic Restoration"/>
    <x v="0"/>
    <s v="2021"/>
    <s v="2021"/>
    <s v="TBD"/>
    <s v="TBD"/>
    <s v="Tidal Caloosahatchee"/>
    <s v="TBD"/>
    <n v="2000000"/>
    <s v="TBD"/>
    <s v="County/ DEP"/>
    <s v="$300,000"/>
    <s v="LP3602B"/>
    <s v="N/A"/>
    <n v="26.658217"/>
    <n v="-81.744166000000007"/>
    <s v="N/A"/>
    <m/>
    <s v="Structural"/>
    <m/>
    <n v="2017"/>
    <s v="TBD"/>
    <s v="N/A"/>
    <m/>
  </r>
  <r>
    <n v="2277"/>
    <x v="20"/>
    <s v="City of Fort Myers"/>
    <s v="LC-41"/>
    <s v="Caloosahatchee Tributary Canal Rehabilitation: L-3"/>
    <s v="Reshaping canal banks, littoral planting, and possible addition of control structure(s)."/>
    <s v="Regional Stormwater Treatment"/>
    <x v="0"/>
    <s v="2021"/>
    <s v="2021"/>
    <n v="985.49522092318409"/>
    <n v="189.59088362849963"/>
    <s v="Tidal Caloosahatchee"/>
    <s v="TBD"/>
    <n v="500000"/>
    <s v="TBD"/>
    <s v="County/ City of Fort Myers/ DEP"/>
    <s v="DEP - $400,000"/>
    <s v="LPA0063"/>
    <s v="N/A"/>
    <n v="26.57583619"/>
    <n v="-81.875846039999999"/>
    <s v="N/A"/>
    <m/>
    <s v="Structural"/>
    <m/>
    <n v="2017"/>
    <s v="TBD"/>
    <s v="N/A"/>
    <m/>
  </r>
  <r>
    <n v="4369"/>
    <x v="20"/>
    <s v="N/A"/>
    <s v="LC-42"/>
    <s v="Bob Janes Preserve Restoration Feasibility Study"/>
    <s v="Study to identify areas of high nutrient loads and potential BMPs to improve water quality, and restore historic hydrologic conditions."/>
    <s v="Study"/>
    <x v="1"/>
    <s v="2019"/>
    <s v="2020"/>
    <s v="N/A"/>
    <s v="N/A"/>
    <s v="Tidal Caloosahatchee; West Caloosahatchee"/>
    <s v="N/A"/>
    <n v="228285"/>
    <s v="N/A"/>
    <s v="County"/>
    <s v="County - $228,285"/>
    <s v="N/A"/>
    <s v="N/A"/>
    <n v="26.753018999999998"/>
    <n v="-81.648373000000007"/>
    <s v="N/A"/>
    <m/>
    <s v="Non-structural"/>
    <s v="Underway"/>
    <n v="2018"/>
    <s v="N/A"/>
    <s v="N/A"/>
    <m/>
  </r>
  <r>
    <n v="4370"/>
    <x v="20"/>
    <s v="N/A"/>
    <s v="LC-43"/>
    <s v="GS-10"/>
    <s v="Land purchase and conversion to conservation land use."/>
    <s v="Land Use Change"/>
    <x v="1"/>
    <s v="2019"/>
    <s v="2019"/>
    <n v="15177.8380315002"/>
    <n v="10640.046788302505"/>
    <s v="Tidal Caloosahatchee; West Caloosahatchee"/>
    <s v="N/A"/>
    <n v="3870000"/>
    <s v="N/A"/>
    <s v="County"/>
    <s v="County - $3,870,000"/>
    <s v="N/A"/>
    <s v="N/A"/>
    <n v="26.66855657"/>
    <n v="-81.610188399999998"/>
    <s v="N/A"/>
    <m/>
    <s v="Non-structural"/>
    <s v="Completed"/>
    <n v="2018"/>
    <s v="N/A"/>
    <s v="N/A"/>
    <m/>
  </r>
  <r>
    <n v="4855"/>
    <x v="20"/>
    <s v="DEP"/>
    <s v="LC-44"/>
    <s v="Powell Creek / Old Bridge Park Restoration"/>
    <s v="Filter marsh creation and BMPs."/>
    <s v="Constructed Wetland Treatment"/>
    <x v="0"/>
    <s v="2021"/>
    <s v="2022"/>
    <s v="TBD"/>
    <s v="TBD"/>
    <s v="Tidal Caloosahatchee"/>
    <s v="TBD"/>
    <n v="974000"/>
    <s v="TBD"/>
    <s v="DEP"/>
    <s v="DEP - $774,000"/>
    <s v="LPQ0011"/>
    <s v="N/A"/>
    <n v="26.69098357"/>
    <n v="-81.870855939999998"/>
    <s v="N/A"/>
    <m/>
    <s v="Structural"/>
    <s v="Underway"/>
    <n v="2019"/>
    <s v="N/A"/>
    <s v="N/A"/>
    <m/>
  </r>
  <r>
    <m/>
    <x v="21"/>
    <s v="DEP"/>
    <s v="LB-02"/>
    <s v="City of LaBelle Zone A Septic Tank to Central Sewer"/>
    <s v="Septic tank conversion project that will consist of a pump station, force main and gravity sewer to provide an estimated 496 customers (area buildout) with sanitary sewer."/>
    <s v="Wastewater Service Area Expansion"/>
    <x v="3"/>
    <s v="2019"/>
    <s v="2021"/>
    <n v="2222.0195713198209"/>
    <s v="N/A"/>
    <s v="Caloosahatchee BMAP"/>
    <n v="91"/>
    <n v="3128500"/>
    <s v="TBD"/>
    <s v="DEP/ City"/>
    <s v="$3,128,500"/>
    <s v="LPQ 0003"/>
    <s v="N/A"/>
    <n v="26.764019999999999"/>
    <n v="-81.434432000000001"/>
    <s v="N/A"/>
    <s v="N/A"/>
    <s v="Structural"/>
    <m/>
    <n v="2020"/>
    <s v="N/A"/>
    <s v="N/A"/>
    <m/>
  </r>
  <r>
    <m/>
    <x v="21"/>
    <s v="DEP"/>
    <s v="LB-03"/>
    <s v="City of LaBelle Zone B Septic Tank to Central Sewer"/>
    <s v="Septic tank conversion project that will consist of a pump station, force main and gravity sewer to provide an estimated 315 customers (area buildout) with sanitary sewer."/>
    <s v="Wastewater Service Area Expansion"/>
    <x v="0"/>
    <s v="2021"/>
    <s v="2022"/>
    <n v="1408.4932801808702"/>
    <s v="N/A"/>
    <s v="Caloosahatchee BMAP"/>
    <n v="110"/>
    <n v="3243000"/>
    <s v="TBD"/>
    <s v="DEP/ City"/>
    <s v="TBD"/>
    <s v="LPQ 0020"/>
    <s v="N/A"/>
    <n v="26.764330000000001"/>
    <n v="-81.428092000000007"/>
    <s v="N/A"/>
    <s v="N/A"/>
    <s v="Structural"/>
    <m/>
    <n v="2020"/>
    <s v="N/A"/>
    <s v="N/A"/>
    <m/>
  </r>
  <r>
    <n v="4856"/>
    <x v="20"/>
    <s v="DEP"/>
    <s v="LC-45"/>
    <s v="Deep Lagoon Preserve Water Quality Improvement Project"/>
    <s v="Retention ponds, channel/ditch modifications, ditch blocks and pumped solutions."/>
    <s v="BMP Treatment Train"/>
    <x v="0"/>
    <s v="2022"/>
    <s v="2022"/>
    <s v="TBD"/>
    <s v="TBD"/>
    <s v="Tidal Caloosahatchee"/>
    <s v="TBD"/>
    <n v="3000000"/>
    <s v="TBD"/>
    <s v="TBD"/>
    <s v="TBD"/>
    <s v="TBD"/>
    <s v="N/A"/>
    <n v="26.527458540000001"/>
    <n v="-81.921743059999997"/>
    <s v="N/A"/>
    <m/>
    <s v="Structural"/>
    <s v="Underway"/>
    <n v="2019"/>
    <s v="N/A"/>
    <s v="N/A"/>
    <m/>
  </r>
  <r>
    <n v="4857"/>
    <x v="20"/>
    <s v="N/A"/>
    <s v="LC-46"/>
    <s v="Olga Shores Preserve Hydrological Restoration"/>
    <s v="Filter marsh creation. Best Management Practices (BMPs)."/>
    <s v="Hydrologic Restoration"/>
    <x v="0"/>
    <s v="TBD"/>
    <s v="TBD"/>
    <s v="TBD"/>
    <s v="TBD"/>
    <s v="Tidal Caloosahatchee"/>
    <s v="N/A"/>
    <s v="TBD"/>
    <s v="N/A"/>
    <s v="N/A"/>
    <s v="N/A"/>
    <s v="N/A"/>
    <s v="N/A"/>
    <n v="26.721743379999999"/>
    <n v="-81.709103569999996"/>
    <s v="N/A"/>
    <m/>
    <s v="Structural"/>
    <s v="Underway"/>
    <n v="2019"/>
    <s v="N/A"/>
    <s v="N/A"/>
    <m/>
  </r>
  <r>
    <n v="2278"/>
    <x v="22"/>
    <s v="N/A"/>
    <s v="LU-01"/>
    <s v="Education/ Fertilizer"/>
    <s v="Education."/>
    <s v="Education Efforts"/>
    <x v="2"/>
    <s v="Not provided"/>
    <s v="N/A"/>
    <n v="1.7503417507097307"/>
    <n v="0.42032141240466742"/>
    <s v="Tidal Caloosahatchee"/>
    <s v="N/A"/>
    <s v="Not provided"/>
    <s v="Not provided"/>
    <s v="Not provided"/>
    <s v="Not provided"/>
    <s v="N/A"/>
    <s v="Not provided"/>
    <n v="26.314312000000001"/>
    <n v="-81.553030000000007"/>
    <s v="N/A"/>
    <m/>
    <s v="Non-structural"/>
    <s v="Completed"/>
    <n v="2012"/>
    <s v="Not provided"/>
    <s v="N/A"/>
    <m/>
  </r>
  <r>
    <n v="2279"/>
    <x v="22"/>
    <s v="N/A"/>
    <s v="LU-02"/>
    <s v="Education/ Pet Waste"/>
    <s v="Education."/>
    <s v="Education Efforts"/>
    <x v="2"/>
    <s v="Not provided"/>
    <s v="N/A"/>
    <n v="1.7503417507097307"/>
    <n v="0.42032141240466742"/>
    <s v="Tidal Caloosahatchee"/>
    <s v="N/A"/>
    <s v="Not provided"/>
    <s v="Not provided"/>
    <s v="Not provided"/>
    <s v="Not provided"/>
    <s v="N/A"/>
    <s v="Not provided"/>
    <n v="26.314312000000001"/>
    <n v="-81.553030000000007"/>
    <s v="N/A"/>
    <m/>
    <s v="Non-structural"/>
    <s v="Completed"/>
    <n v="2012"/>
    <s v="Not provided"/>
    <s v="N/A"/>
    <m/>
  </r>
  <r>
    <n v="5218"/>
    <x v="23"/>
    <s v="Glades County"/>
    <s v="MH-01"/>
    <s v="Glades County Caloosahatchee River and Estuary Area Wastewater Grant"/>
    <s v="Elimination of aging and/or failing existing septic systems in City of Moore Haven. Project also provides for additional conveyance capacity for additional homes and businesses."/>
    <s v="OSTDS Phase Out"/>
    <x v="0"/>
    <s v="Not provided"/>
    <s v="2021"/>
    <n v="1252.7"/>
    <s v="N/A"/>
    <s v="East Caloosahatchee"/>
    <n v="86.5"/>
    <n v="994420"/>
    <s v="N/A"/>
    <s v="DEP"/>
    <s v="DEP - $891,848"/>
    <s v="LP22023"/>
    <s v="N/A"/>
    <s v="Not provided"/>
    <s v="Not provided"/>
    <s v="DEP/ City"/>
    <m/>
    <s v="Structural"/>
    <m/>
    <n v="2019"/>
    <s v="Not provided"/>
    <s v="Not provided"/>
    <m/>
  </r>
  <r>
    <n v="5230"/>
    <x v="20"/>
    <s v="N/A"/>
    <s v="LC-47"/>
    <s v="Microbial Source Tracking in Lee County Waterways"/>
    <s v="Watershed study to investigate interactions between OSTDS and surface water in the Caloosahatchee Estuary."/>
    <s v="Study"/>
    <x v="0"/>
    <s v="2021"/>
    <s v="2021"/>
    <s v="N/A"/>
    <s v="N/A"/>
    <s v="Tidal Caloosahatchee"/>
    <s v="N/A"/>
    <n v="645000"/>
    <s v="N/A"/>
    <s v="County"/>
    <s v="N/A"/>
    <s v="N/A"/>
    <s v="N/A"/>
    <s v="N/A"/>
    <s v="N/A"/>
    <s v="N/A"/>
    <m/>
    <s v="Non-structural"/>
    <m/>
    <n v="2019"/>
    <s v="N/A"/>
    <s v="N/A"/>
    <m/>
  </r>
  <r>
    <m/>
    <x v="20"/>
    <s v="N/A"/>
    <s v="LC-48"/>
    <s v="Olga Shores Preserve"/>
    <s v="Land purchase and conversion to conservation land use."/>
    <s v="Land Use Change"/>
    <x v="1"/>
    <s v="2017"/>
    <s v="2017"/>
    <n v="1.7304584191971344"/>
    <n v="0.26411505700228588"/>
    <s v="Tidal Caloosahatchee"/>
    <n v="91.726565258633642"/>
    <n v="2659059"/>
    <s v="TBD"/>
    <s v="County"/>
    <s v="County - $2,659,059"/>
    <s v="N/A"/>
    <s v="N/A"/>
    <n v="26.720963999999999"/>
    <n v="-81.708499000000003"/>
    <s v="N/A"/>
    <m/>
    <s v="Non-structural"/>
    <m/>
    <n v="2020"/>
    <s v="N/A"/>
    <s v="N/A"/>
    <m/>
  </r>
  <r>
    <n v="5219"/>
    <x v="24"/>
    <s v="N/A"/>
    <s v="PORT-01"/>
    <s v="Education/Fertilizer"/>
    <s v="FYN; landscape, irrigation, and fertilizer ordinances; pamphlets, PSAs, website, illicit discharge program; WETPLAN."/>
    <s v="Education Efforts"/>
    <x v="2"/>
    <s v="Not provided"/>
    <s v="N/A"/>
    <n v="66.242142460780002"/>
    <n v="7.6119449637880008"/>
    <s v="West Caloosahatchee"/>
    <n v="250.7"/>
    <s v="Not provided"/>
    <s v="Not provided"/>
    <s v="Not provided"/>
    <s v="Not provided"/>
    <s v="N/A"/>
    <s v="Not provided"/>
    <s v="Not provided"/>
    <s v="Not provided"/>
    <s v="N/A"/>
    <m/>
    <s v="Non-structural"/>
    <m/>
    <n v="2019"/>
    <s v="Not provided"/>
    <s v="Not provided"/>
    <m/>
  </r>
  <r>
    <n v="5220"/>
    <x v="24"/>
    <s v="N/A"/>
    <s v="PORT-02"/>
    <s v="Control Structures"/>
    <s v="CS-A1 is a Modified Type H Inlet, CS-A2 is a Modified Type E Inlet, CS-B1 is a Modified Type C Inlet."/>
    <s v="Control Structure"/>
    <x v="1"/>
    <s v="Not provided"/>
    <s v="2007"/>
    <s v="TBD"/>
    <s v="TBD"/>
    <s v="West Caloosahatchee"/>
    <s v="N/A"/>
    <s v="Not provided"/>
    <s v="Not provided"/>
    <s v="Not provided"/>
    <s v="Not provided"/>
    <s v="N/A"/>
    <s v="Not provided"/>
    <n v="26.689083159999999"/>
    <n v="-81.703337520000005"/>
    <s v="N/A"/>
    <m/>
    <s v="Structural"/>
    <m/>
    <n v="2019"/>
    <s v="Not provided"/>
    <s v="Not provided"/>
    <m/>
  </r>
  <r>
    <n v="5221"/>
    <x v="24"/>
    <s v="N/A"/>
    <s v="PORT-03"/>
    <s v="Conservation Lands"/>
    <s v="Conversion of agricultural lands to natural conservation lands."/>
    <s v="Land Use Change"/>
    <x v="1"/>
    <s v="Not provided"/>
    <s v="2019"/>
    <s v="TBD"/>
    <s v="TBD"/>
    <s v="West Caloosahatchee"/>
    <s v="N/A"/>
    <s v="Not provided"/>
    <s v="Not provided"/>
    <s v="Not provided"/>
    <s v="Not provided"/>
    <s v="N/A"/>
    <s v="Not provided"/>
    <n v="26.697928000000001"/>
    <n v="-81.726794999999996"/>
    <s v="N/A"/>
    <m/>
    <s v="Non-structural"/>
    <m/>
    <n v="2019"/>
    <s v="Not provided"/>
    <s v="Not provided"/>
    <m/>
  </r>
  <r>
    <n v="5222"/>
    <x v="24"/>
    <s v="N/A"/>
    <s v="PORT-04"/>
    <s v="Stormwater Aeration System"/>
    <s v="Aeration systems on surface water management ponds A1, A2, A3, A4, A5, A9, A10, B1, and B2."/>
    <s v="Stormwater Aeration System"/>
    <x v="1"/>
    <s v="Not provided"/>
    <s v="2017"/>
    <s v="TBD"/>
    <s v="TBD"/>
    <s v="West Caloosahatchee"/>
    <s v="N/A"/>
    <s v="Not provided"/>
    <s v="Not provided"/>
    <s v="Not provided"/>
    <s v="Not provided"/>
    <s v="N/A"/>
    <s v="Not provided"/>
    <n v="26.697928000000001"/>
    <n v="-81.726794999999996"/>
    <s v="N/A"/>
    <m/>
    <s v="Structural"/>
    <m/>
    <n v="2019"/>
    <s v="Not provided"/>
    <s v="Not provided"/>
    <m/>
  </r>
  <r>
    <n v="5223"/>
    <x v="25"/>
    <s v="DEP/ FDACS"/>
    <s v="SD-01"/>
    <s v="Public Education and Outreach"/>
    <s v="Updates on BMAP and requirements during annual landowner meetings."/>
    <s v="Education Efforts"/>
    <x v="0"/>
    <s v="2020"/>
    <s v="N/A"/>
    <s v="N/A"/>
    <s v="N/A"/>
    <s v="East Caloosahatchee"/>
    <s v="N/A"/>
    <n v="500"/>
    <s v="N/A"/>
    <s v="Sugarland Drainage District"/>
    <s v="$500"/>
    <s v="N/A"/>
    <s v="N/A"/>
    <n v="26.730143999999999"/>
    <n v="-80.964206000000004"/>
    <s v="N/A"/>
    <m/>
    <s v="Non-structural"/>
    <m/>
    <n v="2019"/>
    <s v="Not provided"/>
    <s v="Not provided"/>
    <m/>
  </r>
  <r>
    <n v="5224"/>
    <x v="25"/>
    <s v="FDACS"/>
    <s v="SD-02"/>
    <s v="FDACS BMP Assistance"/>
    <s v="Provide assistance to FDACS, as needed, to encourage landowners to enroll in BMPs."/>
    <s v="Agricultural BMPs"/>
    <x v="0"/>
    <s v="2020"/>
    <s v="N/A"/>
    <s v="N/A"/>
    <s v="N/A"/>
    <s v="East Caloosahatchee"/>
    <s v="N/A"/>
    <n v="1000"/>
    <s v="N/A"/>
    <s v="Sugarland Drainage District"/>
    <s v="$1,000"/>
    <s v="N/A"/>
    <s v="N/A"/>
    <n v="26.730143999999999"/>
    <n v="-80.964206000000004"/>
    <s v="N/A"/>
    <m/>
    <s v="Non-structural"/>
    <m/>
    <n v="2019"/>
    <s v="Not provided"/>
    <s v="Not provided"/>
    <m/>
  </r>
  <r>
    <n v="5225"/>
    <x v="25"/>
    <s v="N/A"/>
    <s v="SD-03"/>
    <s v="Nutrient Controls"/>
    <s v="No application of fertilizer in district's rights-of-way."/>
    <s v="Fertilizer Cessation"/>
    <x v="1"/>
    <s v="2020"/>
    <s v="2020"/>
    <s v="N/A"/>
    <s v="N/A"/>
    <s v="East Caloosahatchee"/>
    <s v="N/A"/>
    <n v="0"/>
    <s v="N/A"/>
    <s v="Sugarland Drainage District"/>
    <s v="N/A"/>
    <s v="N/A"/>
    <s v="N/A"/>
    <n v="26.753411"/>
    <s v="-80.9854.89"/>
    <s v="N/A"/>
    <m/>
    <s v="Non-structural"/>
    <m/>
    <n v="2019"/>
    <s v="Not provided"/>
    <s v="Not provided"/>
    <m/>
  </r>
  <r>
    <n v="5226"/>
    <x v="25"/>
    <s v="N/A"/>
    <s v="SD-04"/>
    <s v="Slow Velocity in the Main Canal"/>
    <s v="Minimize sediment transport by slowing velocity in main canal near main discharge structure."/>
    <s v="Control Structure"/>
    <x v="0"/>
    <s v="2021"/>
    <s v="TBD"/>
    <s v="N/A"/>
    <s v="N/A"/>
    <s v="East Caloosahatchee"/>
    <s v="N/A"/>
    <n v="4500"/>
    <s v="N/A"/>
    <s v="Sugarland Drainage District"/>
    <s v="$4,500"/>
    <s v="N/A"/>
    <s v="N/A"/>
    <n v="26.753411"/>
    <s v="-80.9854.89"/>
    <s v="N/A"/>
    <m/>
    <s v="Structural"/>
    <m/>
    <n v="2019"/>
    <s v="Not provided"/>
    <s v="Not provided"/>
    <m/>
  </r>
  <r>
    <n v="5227"/>
    <x v="25"/>
    <s v="N/A"/>
    <s v="SD-05"/>
    <s v="Control Structures"/>
    <s v="Annual maintenance of water control structures."/>
    <s v="Control Structure"/>
    <x v="2"/>
    <s v="2021"/>
    <s v="N/A"/>
    <s v="N/A"/>
    <s v="N/A"/>
    <s v="East Caloosahatchee"/>
    <s v="N/A"/>
    <n v="2500"/>
    <s v="N/A"/>
    <s v="Sugarland Drainage District"/>
    <s v="$2,500"/>
    <s v="N/A"/>
    <s v="N/A"/>
    <n v="26.765592000000002"/>
    <n v="-80.959603000000001"/>
    <s v="N/A"/>
    <m/>
    <s v="Structural"/>
    <m/>
    <n v="2019"/>
    <s v="Not provided"/>
    <s v="Not provided"/>
    <m/>
  </r>
  <r>
    <n v="5228"/>
    <x v="26"/>
    <s v="N/A"/>
    <s v="VE-01"/>
    <s v="Education/Fertilizer"/>
    <s v="FYN; landscape, irrigation, and fertilizer ordinances; pamphlets, PSAs, website, illicit discharge program; WETPLAN."/>
    <s v="Education Efforts"/>
    <x v="2"/>
    <s v="Not provided"/>
    <s v="N/A"/>
    <n v="116.54315594848701"/>
    <n v="15.051627967223292"/>
    <s v="Tidal Caloosahatchee"/>
    <n v="452"/>
    <s v="Not provided"/>
    <s v="Not provided"/>
    <s v="Not provided"/>
    <s v="Not provided"/>
    <s v="N/A"/>
    <s v="Not provided"/>
    <s v="Not provided"/>
    <s v="Not provided"/>
    <s v="N/A"/>
    <m/>
    <s v="Non-structural"/>
    <m/>
    <n v="2019"/>
    <s v="Not provided"/>
    <s v="Not provided"/>
    <m/>
  </r>
  <r>
    <n v="5229"/>
    <x v="27"/>
    <s v="N/A"/>
    <s v="VW-01"/>
    <s v="Education/Fertilizer"/>
    <s v="FYN; landscape, irrigation, and fertilizer ordinances; pamphlets, PSAs, website, illicit discharge program; WETPLAN."/>
    <s v="Education Efforts"/>
    <x v="2"/>
    <s v="Not provided"/>
    <s v="N/A"/>
    <n v="180.34872436642615"/>
    <n v="29.137580185064948"/>
    <s v="Tidal Caloosahatchee"/>
    <n v="488.8"/>
    <s v="Not provided"/>
    <s v="Not provided"/>
    <s v="Not provided"/>
    <s v="Not provided"/>
    <s v="N/A"/>
    <s v="Not provided"/>
    <s v="Not provided"/>
    <s v="Not provided"/>
    <s v="N/A"/>
    <m/>
    <s v="Non-structural"/>
    <m/>
    <n v="2019"/>
    <s v="Not provided"/>
    <s v="Not provided"/>
    <m/>
  </r>
  <r>
    <m/>
    <x v="20"/>
    <s v="N/A"/>
    <s v="LC-49"/>
    <s v="Four Mile Cove"/>
    <s v="Land purchase and conversion to conservation land use."/>
    <s v="Land Use Change"/>
    <x v="1"/>
    <s v="2020"/>
    <s v="2020"/>
    <n v="23.638535674686636"/>
    <n v="5.5515007653417783"/>
    <s v="Tidal Caloosahatchee"/>
    <n v="179.46269003342599"/>
    <n v="6050000"/>
    <s v="TBD"/>
    <s v="County"/>
    <s v="N/A"/>
    <s v="N/A"/>
    <s v="N/A"/>
    <n v="26.619613999999999"/>
    <n v="-81.923428000000001"/>
    <s v="N/A"/>
    <m/>
    <s v="Non-structural"/>
    <m/>
    <n v="2020"/>
    <s v="N/A"/>
    <s v="N/A"/>
    <m/>
  </r>
  <r>
    <m/>
    <x v="20"/>
    <s v="N/A"/>
    <s v="LC-50"/>
    <s v="Alva Scrub Preserve"/>
    <s v="Land purchase and conversion to conservation land use."/>
    <s v="Land Use Change"/>
    <x v="1"/>
    <s v="2000"/>
    <s v="2019"/>
    <n v="1909.6228435501757"/>
    <n v="163.71207505076345"/>
    <s v="West Caloosahatchee"/>
    <n v="1175.8469408968199"/>
    <n v="16847808.5"/>
    <s v="TBD"/>
    <s v="County"/>
    <s v="N/A"/>
    <s v="N/A"/>
    <s v="N/A"/>
    <n v="26.692741000000002"/>
    <n v="-81.616339999999994"/>
    <s v="N/A"/>
    <m/>
    <s v="Non-structural"/>
    <m/>
    <n v="2020"/>
    <s v="N/A"/>
    <s v="N/A"/>
    <m/>
  </r>
  <r>
    <m/>
    <x v="20"/>
    <s v="N/A"/>
    <s v="LC-51"/>
    <s v="Master Wastewater Treatment Feasibility Analysis"/>
    <s v="Study to support the development of a County-wide Septic Conversion Master Plan (SCMP)."/>
    <s v="Study"/>
    <x v="0"/>
    <s v="2021"/>
    <s v="2023"/>
    <s v="N/A"/>
    <s v="N/A"/>
    <s v="Tidal Caloosahatchee"/>
    <s v="N/A"/>
    <s v="TBD"/>
    <s v="N/A"/>
    <s v="County"/>
    <s v="TBD"/>
    <s v="TBD"/>
    <s v="N/A"/>
    <s v="N/A"/>
    <s v="N/A"/>
    <s v="Unknown"/>
    <m/>
    <s v="Non-structural"/>
    <m/>
    <n v="2020"/>
    <s v="N/A"/>
    <s v="N/A"/>
    <m/>
  </r>
  <r>
    <m/>
    <x v="28"/>
    <s v="Lee County"/>
    <s v="M-01"/>
    <s v="Education/Fertilizer"/>
    <s v="Public education, training, codes and ordinances provided by Lee County."/>
    <s v="Education Efforts"/>
    <x v="2"/>
    <s v="2017"/>
    <s v="N/A"/>
    <s v="N/A"/>
    <s v="N/A"/>
    <s v="County-wide; District-wide"/>
    <s v="N/A"/>
    <s v="N/A"/>
    <s v="N/A"/>
    <s v="Lee County"/>
    <s v="N/A"/>
    <s v="N/A"/>
    <s v="N/A"/>
    <s v="26.514444"/>
    <s v="-81.913056"/>
    <s v="N/A"/>
    <m/>
    <s v="Non-structural"/>
    <m/>
    <n v="2020"/>
    <s v="N/A"/>
    <s v="N/A"/>
    <m/>
  </r>
  <r>
    <m/>
    <x v="28"/>
    <s v="Lee County"/>
    <s v="M-02"/>
    <s v="Education/Pet Waste"/>
    <s v="Public education and training provided by Lee County."/>
    <s v="Education Efforts"/>
    <x v="2"/>
    <s v="2017"/>
    <s v="N/A"/>
    <s v="N/A"/>
    <s v="N/A"/>
    <s v="County-wide; District-wide"/>
    <s v="N/A"/>
    <s v="N/A"/>
    <s v="N/A"/>
    <s v="Lee County"/>
    <s v="N/A"/>
    <s v="N/A"/>
    <s v="N/A"/>
    <s v="26.514444"/>
    <s v="-81.913056"/>
    <s v="N/A"/>
    <m/>
    <s v="Non-structural"/>
    <m/>
    <n v="2020"/>
    <s v="N/A"/>
    <s v="N/A"/>
    <m/>
  </r>
  <r>
    <m/>
    <x v="23"/>
    <s v="N/A"/>
    <s v="MH-02"/>
    <s v="Sanitary Sewer Hook-Up Project"/>
    <s v="Hook-up 14 residential housing units on Railroad Ave, Avenue F and 7th street currently on septic systems to central sewer."/>
    <s v="OSTDS Phase Out"/>
    <x v="1"/>
    <s v="2019"/>
    <s v="2020"/>
    <n v="175.38132308276161"/>
    <s v="N/A"/>
    <s v="East Caloosahatchee"/>
    <s v="Not provided"/>
    <n v="694400"/>
    <s v="N/A"/>
    <s v="DEO"/>
    <s v="DEO-$644,000/ City - $50,400"/>
    <s v="N/A"/>
    <s v="N/A"/>
    <n v="26.835885000000001"/>
    <n v="-81.099753000000007"/>
    <s v="N/A"/>
    <s v="N"/>
    <s v="Structural"/>
    <m/>
    <n v="2020"/>
    <s v="N/A"/>
    <s v="N/A"/>
    <m/>
  </r>
  <r>
    <m/>
    <x v="29"/>
    <s v="N/A"/>
    <s v="PL-01"/>
    <s v="Public Education and Outreach"/>
    <s v="Updates on BMAP and requirements during annual meeting."/>
    <s v="Education Efforts"/>
    <x v="0"/>
    <s v="2019"/>
    <s v="N/A"/>
    <n v="61.481276597421136"/>
    <n v="14.255604822827236"/>
    <s v="East Caloosahatchee"/>
    <n v="5422.8"/>
    <s v="TBD"/>
    <s v="TBD"/>
    <s v="Port LaBelle CDD"/>
    <s v="TBD"/>
    <s v="N/A"/>
    <s v="N/A"/>
    <s v="TBD"/>
    <s v="TBD"/>
    <s v="N/A"/>
    <s v="N"/>
    <s v="Non-structural"/>
    <m/>
    <n v="2020"/>
    <s v="N/A"/>
    <s v="N/A"/>
    <m/>
  </r>
  <r>
    <m/>
    <x v="19"/>
    <s v="Lee County"/>
    <s v="LA-15"/>
    <s v="GS-10"/>
    <s v="Construct STA."/>
    <s v="Stormwater Treatment Areas (STAs)"/>
    <x v="0"/>
    <s v="2021"/>
    <s v="2031"/>
    <s v="TBD"/>
    <s v="TBD"/>
    <s v="West Caloosahatchee"/>
    <n v="17076"/>
    <n v="12000000"/>
    <s v="Not provided"/>
    <s v="TBD"/>
    <s v="Not provided"/>
    <s v="TBD"/>
    <s v="Not provided"/>
    <n v="26.54102"/>
    <n v="-81.60454"/>
    <s v="N/A"/>
    <s v="TBD"/>
    <s v="Structural"/>
    <m/>
    <n v="2020"/>
    <s v="N/A"/>
    <s v="N/A"/>
    <m/>
  </r>
  <r>
    <m/>
    <x v="19"/>
    <s v="Not provided"/>
    <s v="LA-16"/>
    <s v="S-BH-2"/>
    <s v="Replacement of weir structures at increase control elevations to provide additional attenuation."/>
    <s v="Control Structure"/>
    <x v="3"/>
    <s v="2021"/>
    <s v="2021"/>
    <s v="TBD"/>
    <s v="TBD"/>
    <s v="West Caloosahatchee"/>
    <n v="1031"/>
    <n v="75000"/>
    <s v="Not provided"/>
    <s v="LA-MSID"/>
    <s v="$75,000"/>
    <s v="N/A"/>
    <s v="Not provided"/>
    <n v="26.54102"/>
    <n v="-81.60454"/>
    <s v="N/A"/>
    <s v="TBD"/>
    <s v="Structural"/>
    <m/>
    <n v="2020"/>
    <s v="N/A"/>
    <s v="N/A"/>
    <m/>
  </r>
  <r>
    <m/>
    <x v="19"/>
    <s v="Not provided"/>
    <s v="LA-17"/>
    <s v="S-CP-1"/>
    <s v="Replacement of weir structures at increase control elevations to provide additional attenuation."/>
    <s v="Control Structure"/>
    <x v="3"/>
    <s v="2021"/>
    <s v="2021"/>
    <s v="TBD"/>
    <s v="TBD"/>
    <s v="West Caloosahatchee"/>
    <n v="1135"/>
    <n v="400000"/>
    <s v="Not provided"/>
    <s v="LA-MSID"/>
    <s v="$400,000"/>
    <s v="N/A"/>
    <s v="N/A"/>
    <n v="26.621559999999999"/>
    <n v="-81.727209999999999"/>
    <s v="N/A"/>
    <s v="TBD"/>
    <s v="Structural"/>
    <m/>
    <n v="2020"/>
    <s v="N/A"/>
    <s v="N/A"/>
    <m/>
  </r>
  <r>
    <m/>
    <x v="19"/>
    <s v="Not provided"/>
    <s v="LA-18"/>
    <s v="S-R-1"/>
    <s v="Replacement of weir structures at increase control elevations to provide additional attenuation."/>
    <s v="Control Structure"/>
    <x v="1"/>
    <s v="2020"/>
    <s v="2020"/>
    <s v="TBD"/>
    <s v="TBD"/>
    <s v="Tidal Caloosahatchee"/>
    <n v="1193"/>
    <n v="136681"/>
    <m/>
    <s v="LA-MSID"/>
    <s v="$136,681"/>
    <s v="N/A"/>
    <s v="N/A"/>
    <n v="26.63524"/>
    <n v="-81.691950000000006"/>
    <s v="N/A"/>
    <s v="TBD"/>
    <s v="Structural"/>
    <m/>
    <n v="2020"/>
    <s v="N/A"/>
    <s v="N/A"/>
    <m/>
  </r>
  <r>
    <m/>
    <x v="30"/>
    <m/>
    <m/>
    <m/>
    <m/>
    <m/>
    <x v="4"/>
    <m/>
    <m/>
    <m/>
    <m/>
    <m/>
    <m/>
    <m/>
    <m/>
    <m/>
    <m/>
    <m/>
    <m/>
    <m/>
    <m/>
    <m/>
    <m/>
    <m/>
    <m/>
    <m/>
    <m/>
    <m/>
    <m/>
  </r>
  <r>
    <m/>
    <x v="30"/>
    <m/>
    <m/>
    <m/>
    <m/>
    <m/>
    <x v="4"/>
    <m/>
    <m/>
    <m/>
    <m/>
    <m/>
    <m/>
    <m/>
    <m/>
    <m/>
    <m/>
    <m/>
    <m/>
    <m/>
    <m/>
    <m/>
    <m/>
    <m/>
    <m/>
    <m/>
    <m/>
    <m/>
    <m/>
  </r>
  <r>
    <m/>
    <x v="30"/>
    <m/>
    <m/>
    <m/>
    <m/>
    <m/>
    <x v="4"/>
    <m/>
    <m/>
    <m/>
    <m/>
    <m/>
    <m/>
    <m/>
    <m/>
    <m/>
    <m/>
    <m/>
    <m/>
    <m/>
    <m/>
    <m/>
    <m/>
    <m/>
    <m/>
    <m/>
    <m/>
    <m/>
    <m/>
  </r>
  <r>
    <m/>
    <x v="30"/>
    <m/>
    <m/>
    <m/>
    <m/>
    <m/>
    <x v="4"/>
    <m/>
    <m/>
    <m/>
    <m/>
    <m/>
    <m/>
    <m/>
    <m/>
    <m/>
    <m/>
    <m/>
    <m/>
    <m/>
    <m/>
    <m/>
    <m/>
    <m/>
    <m/>
    <m/>
    <m/>
    <m/>
    <m/>
  </r>
  <r>
    <m/>
    <x v="30"/>
    <m/>
    <m/>
    <m/>
    <m/>
    <m/>
    <x v="4"/>
    <m/>
    <m/>
    <m/>
    <m/>
    <m/>
    <m/>
    <m/>
    <m/>
    <m/>
    <m/>
    <m/>
    <m/>
    <m/>
    <m/>
    <m/>
    <m/>
    <m/>
    <m/>
    <m/>
    <m/>
    <m/>
    <m/>
  </r>
  <r>
    <m/>
    <x v="30"/>
    <m/>
    <m/>
    <m/>
    <m/>
    <m/>
    <x v="4"/>
    <m/>
    <m/>
    <m/>
    <m/>
    <m/>
    <m/>
    <m/>
    <m/>
    <m/>
    <m/>
    <m/>
    <m/>
    <m/>
    <m/>
    <m/>
    <m/>
    <m/>
    <m/>
    <m/>
    <m/>
    <m/>
    <m/>
  </r>
  <r>
    <m/>
    <x v="30"/>
    <m/>
    <m/>
    <m/>
    <m/>
    <m/>
    <x v="4"/>
    <m/>
    <m/>
    <m/>
    <m/>
    <m/>
    <m/>
    <m/>
    <m/>
    <m/>
    <m/>
    <m/>
    <m/>
    <m/>
    <m/>
    <m/>
    <m/>
    <m/>
    <m/>
    <m/>
    <m/>
    <m/>
    <m/>
  </r>
  <r>
    <m/>
    <x v="30"/>
    <m/>
    <m/>
    <m/>
    <m/>
    <m/>
    <x v="4"/>
    <m/>
    <m/>
    <m/>
    <m/>
    <m/>
    <m/>
    <m/>
    <m/>
    <m/>
    <m/>
    <m/>
    <m/>
    <m/>
    <m/>
    <m/>
    <m/>
    <m/>
    <m/>
    <m/>
    <m/>
    <m/>
    <m/>
  </r>
  <r>
    <m/>
    <x v="30"/>
    <m/>
    <m/>
    <m/>
    <m/>
    <m/>
    <x v="4"/>
    <m/>
    <m/>
    <m/>
    <m/>
    <m/>
    <m/>
    <m/>
    <m/>
    <m/>
    <m/>
    <m/>
    <m/>
    <m/>
    <m/>
    <m/>
    <m/>
    <m/>
    <m/>
    <m/>
    <m/>
    <m/>
    <m/>
  </r>
  <r>
    <m/>
    <x v="30"/>
    <m/>
    <m/>
    <m/>
    <m/>
    <m/>
    <x v="4"/>
    <m/>
    <m/>
    <m/>
    <m/>
    <m/>
    <m/>
    <m/>
    <m/>
    <m/>
    <m/>
    <m/>
    <m/>
    <m/>
    <m/>
    <m/>
    <m/>
    <m/>
    <m/>
    <m/>
    <m/>
    <m/>
    <m/>
  </r>
  <r>
    <m/>
    <x v="30"/>
    <m/>
    <m/>
    <m/>
    <m/>
    <m/>
    <x v="4"/>
    <m/>
    <m/>
    <m/>
    <m/>
    <m/>
    <m/>
    <m/>
    <m/>
    <m/>
    <m/>
    <m/>
    <m/>
    <m/>
    <m/>
    <m/>
    <m/>
    <m/>
    <m/>
    <m/>
    <m/>
    <m/>
    <m/>
  </r>
  <r>
    <m/>
    <x v="30"/>
    <m/>
    <m/>
    <m/>
    <m/>
    <m/>
    <x v="4"/>
    <m/>
    <m/>
    <m/>
    <m/>
    <m/>
    <m/>
    <m/>
    <m/>
    <m/>
    <m/>
    <m/>
    <m/>
    <m/>
    <m/>
    <m/>
    <m/>
    <m/>
    <m/>
    <m/>
    <m/>
    <m/>
    <m/>
  </r>
  <r>
    <m/>
    <x v="30"/>
    <m/>
    <m/>
    <m/>
    <m/>
    <m/>
    <x v="4"/>
    <m/>
    <m/>
    <m/>
    <m/>
    <m/>
    <m/>
    <m/>
    <m/>
    <m/>
    <m/>
    <m/>
    <m/>
    <m/>
    <m/>
    <m/>
    <m/>
    <m/>
    <m/>
    <m/>
    <m/>
    <m/>
    <m/>
  </r>
  <r>
    <m/>
    <x v="30"/>
    <m/>
    <m/>
    <m/>
    <m/>
    <m/>
    <x v="4"/>
    <m/>
    <m/>
    <m/>
    <m/>
    <m/>
    <m/>
    <m/>
    <m/>
    <m/>
    <m/>
    <m/>
    <m/>
    <m/>
    <m/>
    <m/>
    <m/>
    <m/>
    <m/>
    <m/>
    <m/>
    <m/>
    <m/>
  </r>
  <r>
    <m/>
    <x v="30"/>
    <m/>
    <m/>
    <m/>
    <m/>
    <m/>
    <x v="4"/>
    <m/>
    <m/>
    <m/>
    <m/>
    <m/>
    <m/>
    <m/>
    <m/>
    <m/>
    <m/>
    <m/>
    <m/>
    <m/>
    <m/>
    <m/>
    <m/>
    <m/>
    <m/>
    <m/>
    <m/>
    <m/>
    <m/>
  </r>
  <r>
    <m/>
    <x v="30"/>
    <m/>
    <m/>
    <m/>
    <m/>
    <m/>
    <x v="4"/>
    <m/>
    <m/>
    <m/>
    <m/>
    <m/>
    <m/>
    <m/>
    <m/>
    <m/>
    <m/>
    <m/>
    <m/>
    <m/>
    <m/>
    <m/>
    <m/>
    <m/>
    <m/>
    <m/>
    <m/>
    <m/>
    <m/>
  </r>
  <r>
    <m/>
    <x v="30"/>
    <m/>
    <m/>
    <m/>
    <m/>
    <m/>
    <x v="4"/>
    <m/>
    <m/>
    <m/>
    <m/>
    <m/>
    <m/>
    <m/>
    <m/>
    <m/>
    <m/>
    <m/>
    <m/>
    <m/>
    <m/>
    <m/>
    <m/>
    <m/>
    <m/>
    <m/>
    <m/>
    <m/>
    <m/>
  </r>
  <r>
    <m/>
    <x v="30"/>
    <m/>
    <m/>
    <m/>
    <m/>
    <m/>
    <x v="4"/>
    <m/>
    <m/>
    <m/>
    <m/>
    <m/>
    <m/>
    <m/>
    <m/>
    <m/>
    <m/>
    <m/>
    <m/>
    <m/>
    <m/>
    <m/>
    <m/>
    <m/>
    <m/>
    <m/>
    <m/>
    <m/>
    <m/>
  </r>
  <r>
    <m/>
    <x v="30"/>
    <m/>
    <m/>
    <m/>
    <m/>
    <m/>
    <x v="4"/>
    <m/>
    <m/>
    <m/>
    <m/>
    <m/>
    <m/>
    <m/>
    <m/>
    <m/>
    <m/>
    <m/>
    <m/>
    <m/>
    <m/>
    <m/>
    <m/>
    <m/>
    <m/>
    <m/>
    <m/>
    <m/>
    <m/>
  </r>
  <r>
    <m/>
    <x v="30"/>
    <m/>
    <m/>
    <m/>
    <m/>
    <m/>
    <x v="4"/>
    <m/>
    <m/>
    <m/>
    <m/>
    <m/>
    <m/>
    <m/>
    <m/>
    <m/>
    <m/>
    <m/>
    <m/>
    <m/>
    <m/>
    <m/>
    <m/>
    <m/>
    <m/>
    <m/>
    <m/>
    <m/>
    <m/>
  </r>
  <r>
    <m/>
    <x v="30"/>
    <m/>
    <m/>
    <m/>
    <m/>
    <m/>
    <x v="4"/>
    <m/>
    <m/>
    <m/>
    <m/>
    <m/>
    <m/>
    <m/>
    <m/>
    <m/>
    <m/>
    <m/>
    <m/>
    <m/>
    <m/>
    <m/>
    <m/>
    <m/>
    <m/>
    <m/>
    <m/>
    <m/>
    <m/>
  </r>
  <r>
    <m/>
    <x v="30"/>
    <m/>
    <m/>
    <m/>
    <m/>
    <m/>
    <x v="4"/>
    <m/>
    <m/>
    <m/>
    <m/>
    <m/>
    <m/>
    <m/>
    <m/>
    <m/>
    <m/>
    <m/>
    <m/>
    <m/>
    <m/>
    <m/>
    <m/>
    <m/>
    <m/>
    <m/>
    <m/>
    <m/>
    <m/>
  </r>
  <r>
    <m/>
    <x v="30"/>
    <m/>
    <m/>
    <m/>
    <m/>
    <m/>
    <x v="4"/>
    <m/>
    <m/>
    <m/>
    <m/>
    <m/>
    <m/>
    <m/>
    <m/>
    <m/>
    <m/>
    <m/>
    <m/>
    <m/>
    <m/>
    <m/>
    <m/>
    <m/>
    <m/>
    <m/>
    <m/>
    <m/>
    <m/>
  </r>
  <r>
    <m/>
    <x v="30"/>
    <m/>
    <m/>
    <m/>
    <m/>
    <m/>
    <x v="4"/>
    <m/>
    <m/>
    <m/>
    <m/>
    <m/>
    <m/>
    <m/>
    <m/>
    <m/>
    <m/>
    <m/>
    <m/>
    <m/>
    <m/>
    <m/>
    <m/>
    <m/>
    <m/>
    <m/>
    <m/>
    <m/>
    <m/>
  </r>
  <r>
    <m/>
    <x v="30"/>
    <m/>
    <m/>
    <m/>
    <m/>
    <m/>
    <x v="4"/>
    <m/>
    <m/>
    <m/>
    <m/>
    <m/>
    <m/>
    <m/>
    <m/>
    <m/>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6">
  <r>
    <n v="5160"/>
    <s v="Barron WCD"/>
    <s v="DEP/ FDACS"/>
    <s v="BD-01"/>
    <s v="Public Education and Outreach"/>
    <s v="Updates on BMAP and requirements during annual landowner meetings."/>
    <s v="Education Efforts"/>
    <x v="0"/>
    <s v="2019"/>
    <s v="N/A"/>
    <s v="N/A"/>
    <s v="N/A"/>
    <s v="East Caloosahatchee"/>
    <s v="N/A"/>
    <s v="Not provided"/>
    <s v="TBD"/>
    <s v="Barron WCD"/>
    <s v="N/A"/>
    <s v="N/A"/>
    <s v="N/A"/>
    <n v="26.75713889"/>
    <n v="-81.386111110000002"/>
    <s v="N/A"/>
    <m/>
    <s v="Non-structural"/>
    <m/>
    <n v="2019"/>
    <s v="N/A"/>
    <s v="N/A"/>
  </r>
  <r>
    <n v="5161"/>
    <s v="Barron WCD"/>
    <s v="FDACS"/>
    <s v="BD-02"/>
    <s v="FDACS BMP Assistance"/>
    <s v="Provide assistance to FDACS, as needed, to encourage landowners to enroll in BMPs."/>
    <s v="Agricultural BMPs"/>
    <x v="0"/>
    <s v="2019"/>
    <s v="N/A"/>
    <s v="N/A"/>
    <s v="N/A"/>
    <s v="East Caloosahatchee"/>
    <s v="N/A"/>
    <s v="Not provided"/>
    <s v="TBD"/>
    <s v="Barron WCD"/>
    <s v="N/A"/>
    <s v="N/A"/>
    <s v="N/A"/>
    <n v="26.7515"/>
    <n v="-81.275000000000006"/>
    <s v="N/A"/>
    <m/>
    <s v="Non-structural"/>
    <m/>
    <n v="2019"/>
    <s v="N/A"/>
    <s v="N/A"/>
  </r>
  <r>
    <n v="5162"/>
    <s v="Barron WCD"/>
    <s v="N/A"/>
    <s v="BD-03"/>
    <s v="Nutrient Controls"/>
    <s v="No application of fertilizer in district's rights-of-way."/>
    <s v="Fertilizer Cessation"/>
    <x v="1"/>
    <s v="2020"/>
    <s v="2020"/>
    <s v="N/A"/>
    <s v="N/A"/>
    <s v="East Caloosahatchee"/>
    <s v="N/A"/>
    <s v="TBD"/>
    <s v="TBD"/>
    <s v="Barron WCD"/>
    <s v="N/A"/>
    <s v="N/A"/>
    <s v="N/A"/>
    <n v="26.7515"/>
    <n v="-81.275000000000006"/>
    <s v="N/A"/>
    <m/>
    <s v="Non-structural"/>
    <m/>
    <n v="2019"/>
    <s v="N/A"/>
    <s v="N/A"/>
  </r>
  <r>
    <n v="5163"/>
    <s v="Barron WCD"/>
    <s v="N/A"/>
    <s v="BD-04"/>
    <s v="Canal/Ditch Bank Berms"/>
    <s v="Minimize sediment transport by constructing berms on top of canal/ditch banks and promoting vegetation cover."/>
    <s v="Shoreline Stabilization"/>
    <x v="0"/>
    <s v="2020"/>
    <s v="N/A"/>
    <s v="N/A"/>
    <s v="N/A"/>
    <s v="East Caloosahatchee"/>
    <s v="N/A"/>
    <s v="TBD"/>
    <s v="TBD"/>
    <s v="Barron WCD"/>
    <s v="N/A"/>
    <s v="N/A"/>
    <s v="N/A"/>
    <n v="26.7515"/>
    <n v="-81.275000000000006"/>
    <s v="N/A"/>
    <m/>
    <s v="Structural"/>
    <m/>
    <n v="2019"/>
    <s v="N/A"/>
    <s v="N/A"/>
  </r>
  <r>
    <n v="5164"/>
    <s v="Barron WCD"/>
    <s v="N/A"/>
    <s v="BD-05"/>
    <s v="Control Structures"/>
    <s v="Annual maintenance of water control structures."/>
    <s v="Control Structure"/>
    <x v="2"/>
    <s v="2021"/>
    <s v="N/A"/>
    <s v="N/A"/>
    <s v="N/A"/>
    <s v="East Caloosahatchee"/>
    <s v="N/A"/>
    <s v="TBD"/>
    <s v="TBD"/>
    <s v="Barron WCD"/>
    <s v="N/A"/>
    <s v="N/A"/>
    <s v="N/A"/>
    <n v="26.7515"/>
    <n v="-81.275000000000006"/>
    <s v="N/A"/>
    <m/>
    <s v="Structural"/>
    <m/>
    <n v="2019"/>
    <s v="N/A"/>
    <s v="N/A"/>
  </r>
  <r>
    <n v="5165"/>
    <s v="Coordinating Agency"/>
    <s v="N/A"/>
    <s v="CA-01"/>
    <s v="C-43 West Basin Storage Reservoir"/>
    <s v="Storage of 170,000 acre-feet of stormwater runoff and releases from Lake Okeechobee. It will reduce volume of lake discharges in wet season and provide freshwater flow to the estuary in dry season to aid in essential flows for more stable salinities."/>
    <s v="Hydrologic Restoration"/>
    <x v="3"/>
    <s v="2015"/>
    <s v="2023"/>
    <s v="N/A"/>
    <s v="N/A"/>
    <s v="West Caloosahatchee"/>
    <n v="10700"/>
    <n v="853335773"/>
    <n v="2200000"/>
    <s v="USACE/ SFWMD/ Florida Legislature"/>
    <s v="USACE - $38,846,743/ SFWMD - $6,226,922/ Florida Legislature - $396,824,679"/>
    <s v="N/A"/>
    <s v="N/A"/>
    <n v="26.78637063"/>
    <n v="-81.288741049999999"/>
    <s v="N/A"/>
    <s v="Y"/>
    <s v="Structural"/>
    <m/>
    <n v="2019"/>
    <s v="Not provided"/>
    <s v="Not provided"/>
  </r>
  <r>
    <n v="5166"/>
    <s v="Coordinating Agency"/>
    <s v="N/A"/>
    <s v="CA-02"/>
    <s v="Lake Hicpochee Storage and Shallow Hydrologic Enhancement, Phase 1"/>
    <s v="Provide shallow water storage, rehydrate a portion of lake bed to promote habitat restoration storage, and increase capacity for ancillary water quality benefit. Project will deliver excess stormwater runoff from C-19 canal to north end of lake as needed."/>
    <s v="Hydrologic Restoration"/>
    <x v="1"/>
    <s v="2017"/>
    <s v="2019"/>
    <s v="N/A"/>
    <s v="N/A"/>
    <s v="East Caloosahatchee"/>
    <n v="670"/>
    <n v="17300590"/>
    <n v="114588"/>
    <s v="SFWMD/ Florida Legislature"/>
    <s v="SFWMD - $12,395,150/ Florida Legislature - $4,905,440"/>
    <s v="N/A"/>
    <s v="N/A"/>
    <n v="26.81848578"/>
    <n v="-81.145942020000007"/>
    <s v="N/A"/>
    <s v="Y"/>
    <s v="Structural"/>
    <m/>
    <n v="2019"/>
    <s v="Not provided"/>
    <s v="Not provided"/>
  </r>
  <r>
    <n v="5167"/>
    <s v="Coordinating Agency"/>
    <s v="N/A"/>
    <s v="CA-03"/>
    <s v="Lake Hicpochee Storage and Shallow Hydrologic Enhancement Expansion"/>
    <s v="Building on Phase I efforts, project will expand regional storage in the Caloosahatchee River Watershed and reduce flows lost to tide on over 2,600 acres of District lands."/>
    <s v="Hydrologic Restoration"/>
    <x v="0"/>
    <s v="2022"/>
    <s v="2025"/>
    <s v="N/A"/>
    <n v="3810.8294399999995"/>
    <s v="East Caloosahatchee"/>
    <n v="2648"/>
    <n v="95231364"/>
    <s v="TBD"/>
    <s v="SFWMD/ Florida Legislature"/>
    <s v="SFWMD - $27,043/ Florida Legislature - $1,500,000"/>
    <s v="N/A"/>
    <s v="N/A"/>
    <n v="26.817145289999999"/>
    <n v="-81.148903180000005"/>
    <s v="N/A"/>
    <s v="Y"/>
    <s v="Structural"/>
    <m/>
    <n v="2019"/>
    <s v="Not provided"/>
    <s v="Not provided"/>
  </r>
  <r>
    <n v="5168"/>
    <s v="Coordinating Agency"/>
    <s v="N/A"/>
    <s v="CA-04"/>
    <s v="BOMA Flow Equalization Basin (FEB)"/>
    <s v="Expand regional storage in the Caloosahatchee River Watershed and reduce flows to the estuary on approximately 1,800 acres of SFWMD lands."/>
    <s v="Hydrologic Restoration"/>
    <x v="0"/>
    <s v="2023"/>
    <s v="2025"/>
    <s v="N/A"/>
    <s v="N/A"/>
    <s v="East Caloosahatchee"/>
    <n v="1797"/>
    <s v="TBD"/>
    <s v="TBD"/>
    <s v="SFWMD/ Florida Legislature"/>
    <s v="TBD"/>
    <s v="N/A"/>
    <s v="N/A"/>
    <s v="26.779607"/>
    <s v="-81.289079"/>
    <s v="N/A"/>
    <s v="Y"/>
    <s v="Structural"/>
    <m/>
    <n v="2019"/>
    <s v="Not provided"/>
    <s v="Not provided"/>
  </r>
  <r>
    <n v="5169"/>
    <s v="Coordinating Agency"/>
    <s v="N/A"/>
    <s v="CA-05"/>
    <s v="C-43 Water Quality Treatment and Testing Facility, Phase II - Test Cells"/>
    <s v="Evaluate the effectiveness of wetland treatment systems in reducing nitrogen at a test-scale."/>
    <s v="Study"/>
    <x v="0"/>
    <s v="2022"/>
    <s v="2024"/>
    <s v="N/A"/>
    <s v="N/A"/>
    <s v="East Caloosahatchee"/>
    <s v="TBD"/>
    <s v="TBD"/>
    <s v="TBD"/>
    <s v="SFWMD/ Florida Legislature"/>
    <s v="TBD"/>
    <s v="N/A"/>
    <s v="N/A"/>
    <s v="Not provided"/>
    <s v="Not provided"/>
    <s v="N/A"/>
    <s v="Y"/>
    <s v="Non-structural"/>
    <m/>
    <n v="2019"/>
    <s v="Not provided"/>
    <s v="Not provided"/>
  </r>
  <r>
    <n v="5170"/>
    <s v="Coordinating Agency"/>
    <s v="N/A"/>
    <s v="CA-06"/>
    <s v="C-43 West Basin Storage Reservoir Water Quality Component"/>
    <s v="Construct and operate a water quality treatment component at the C-43 West Basin Storage Reservoir to reduce discharge of nutrients which may contribute to blue-green algal blooms."/>
    <s v="Constructed Wetland Treatment"/>
    <x v="3"/>
    <s v="2019"/>
    <s v="2025"/>
    <s v="TBD"/>
    <s v="TBD"/>
    <s v="West Caloosahatchee"/>
    <s v="N/A"/>
    <n v="659385"/>
    <s v="N/A"/>
    <s v="Florida Legislature"/>
    <s v="$659,385"/>
    <s v="N/A"/>
    <s v="N/A"/>
    <s v="Not provided"/>
    <s v="Not provided"/>
    <s v="N/A"/>
    <s v="Y"/>
    <s v="Non-structural"/>
    <m/>
    <n v="2019"/>
    <s v="Not provided"/>
    <s v="Not provided"/>
  </r>
  <r>
    <n v="5171"/>
    <s v="Coordinating Agency"/>
    <s v="N/A"/>
    <s v="CA-07"/>
    <s v="Mudge Ranch"/>
    <s v="304-acre project area, which has an estimated water storage benefit of 396 ac-ft/yr."/>
    <s v="Dispersed Water Management (DWM)"/>
    <x v="1"/>
    <s v="2013"/>
    <s v="2014"/>
    <s v="N/A"/>
    <s v="N/A"/>
    <s v="West Caloosahatchee"/>
    <n v="304"/>
    <n v="17200"/>
    <n v="47500"/>
    <s v="Florida Legislature"/>
    <s v="$302,200"/>
    <s v="N/A"/>
    <s v="N/A"/>
    <n v="26.821022630000002"/>
    <n v="-81.470341869999999"/>
    <s v="N/A"/>
    <s v="Y"/>
    <s v="Structural"/>
    <m/>
    <n v="2019"/>
    <s v="Not provided"/>
    <s v="Not provided"/>
  </r>
  <r>
    <n v="2318"/>
    <s v="City of Cape Coral"/>
    <s v="UF-IFAS"/>
    <s v="CC-01"/>
    <s v="Education Efforts"/>
    <s v="FYN; landscape, irrigation, pet waste, and fertilizer ordinances; pamphlets, PSAs, website, and Illicit Discharge Program."/>
    <s v="Education Efforts"/>
    <x v="2"/>
    <s v="Not provided"/>
    <s v="N/A"/>
    <n v="9299.2142886460551"/>
    <n v="3448.2961113327337"/>
    <s v="Tidal Caloosahatchee"/>
    <s v="N/A"/>
    <s v="Not provided"/>
    <n v="2000"/>
    <s v="City"/>
    <s v="Not provided"/>
    <s v="N/A"/>
    <s v="N/A"/>
    <s v="N/A"/>
    <s v="N/A"/>
    <s v="N/A"/>
    <m/>
    <s v="Non-structural"/>
    <s v="Ongoing"/>
    <n v="2012"/>
    <n v="6998.4709679999996"/>
    <s v="N/A"/>
  </r>
  <r>
    <n v="2329"/>
    <s v="City of Cape Coral"/>
    <s v="N/A"/>
    <s v="CC-02"/>
    <s v="SE - 1 Swale/ Inlet Replacement"/>
    <s v="Installed raised inlets to provide additional water quality in roadside swales."/>
    <s v="Grass Swales with Swale Blocks or Raised Culverts"/>
    <x v="1"/>
    <s v="Not provided"/>
    <s v="Prior to 2012"/>
    <n v="0"/>
    <s v="N/A"/>
    <s v="Tidal Caloosahatchee"/>
    <s v="Not provided"/>
    <s v="Not provided"/>
    <s v="Not provided"/>
    <s v="City"/>
    <s v="Not provided"/>
    <s v="N/A"/>
    <s v="N/A"/>
    <s v="Not provided"/>
    <s v="Not provided"/>
    <s v="N/A"/>
    <m/>
    <s v="Structural"/>
    <s v="Completed"/>
    <n v="2012"/>
    <n v="0"/>
    <s v="N/A"/>
  </r>
  <r>
    <n v="2327"/>
    <s v="City of Cape Coral"/>
    <s v="N/A"/>
    <s v="CC-03"/>
    <s v="SW - 1 Swale/ Inlet Replacement"/>
    <s v="Installed raised inlets to provide additional water quality in roadside swales."/>
    <s v="Grass Swales with Swale Blocks or Raised Culverts"/>
    <x v="1"/>
    <s v="Not provided"/>
    <s v="Prior to 2012"/>
    <n v="0"/>
    <s v="N/A"/>
    <s v="Tidal Caloosahatchee"/>
    <s v="Not provided"/>
    <s v="Not provided"/>
    <s v="Not provided"/>
    <s v="City"/>
    <s v="Not provided"/>
    <s v="N/A"/>
    <s v="N/A"/>
    <s v="Not provided"/>
    <s v="Not provided"/>
    <s v="N/A"/>
    <m/>
    <s v="Structural"/>
    <s v="Completed"/>
    <n v="2012"/>
    <n v="0"/>
    <s v="N/A"/>
  </r>
  <r>
    <n v="2339"/>
    <s v="City of Cape Coral"/>
    <s v="N/A"/>
    <s v="CC-04"/>
    <s v="SW - 2 Swale/ Inlet Replacement"/>
    <s v="Installed raised inlets to provide additional water quality in roadside swales."/>
    <s v="Grass Swales with Swale Blocks or Raised Culverts"/>
    <x v="1"/>
    <s v="Not provided"/>
    <s v="Prior to 2012"/>
    <n v="0"/>
    <s v="N/A"/>
    <s v="Tidal Caloosahatchee"/>
    <s v="Not provided"/>
    <s v="Not provided"/>
    <s v="Not provided"/>
    <s v="City"/>
    <s v="Not provided"/>
    <s v="N/A"/>
    <s v="N/A"/>
    <s v="Not provided"/>
    <s v="Not provided"/>
    <s v="N/A"/>
    <m/>
    <s v="Structural"/>
    <s v="Completed"/>
    <n v="2012"/>
    <n v="0"/>
    <s v="N/A"/>
  </r>
  <r>
    <n v="2304"/>
    <s v="City of Cape Coral"/>
    <s v="N/A"/>
    <s v="CC-05"/>
    <s v="SW - 3 Swale/ Inlet Replacement"/>
    <s v="Installed raised inlets to provide additional water quality in roadside swales."/>
    <s v="Grass Swales with Swale Blocks or Raised Culverts"/>
    <x v="1"/>
    <s v="Not provided"/>
    <s v="Prior to 2012"/>
    <n v="0"/>
    <s v="N/A"/>
    <s v="Tidal Caloosahatchee"/>
    <s v="Not provided"/>
    <s v="Not provided"/>
    <s v="Not provided"/>
    <s v="City"/>
    <s v="Not provided"/>
    <s v="N/A"/>
    <s v="N/A"/>
    <s v="Not provided"/>
    <s v="Not provided"/>
    <s v="N/A"/>
    <m/>
    <s v="Structural"/>
    <s v="Completed"/>
    <n v="2012"/>
    <n v="0"/>
    <s v="N/A"/>
  </r>
  <r>
    <n v="2328"/>
    <s v="City of Cape Coral"/>
    <s v="DEP"/>
    <s v="CC-06"/>
    <s v="SW - 4 Swale/ Inlet Replacement"/>
    <s v="Installed raised inlets to provide additional water quality in roadside swales."/>
    <s v="Grass Swales with Swale Blocks or Raised Culverts"/>
    <x v="1"/>
    <s v="Not provided"/>
    <s v="Prior to 2012"/>
    <n v="0"/>
    <s v="N/A"/>
    <s v="Tidal Caloosahatchee"/>
    <s v="Not provided"/>
    <s v="Not provided"/>
    <s v="Not provided"/>
    <s v="City"/>
    <s v="City - $171,911"/>
    <s v="TBD"/>
    <s v="N/A"/>
    <s v="Not provided"/>
    <s v="Not provided"/>
    <s v="N/A"/>
    <m/>
    <s v="Structural"/>
    <s v="Completed"/>
    <n v="2012"/>
    <n v="0"/>
    <s v="N/A"/>
  </r>
  <r>
    <n v="2296"/>
    <s v="City of Cape Coral"/>
    <s v="DEP"/>
    <s v="CC-07"/>
    <s v="SW - 5 Swale/ Inlet Replacement"/>
    <s v="Installed raised inlets to provide additional water quality in roadside swales."/>
    <s v="Grass Swales with Swale Blocks or Raised Culverts"/>
    <x v="1"/>
    <s v="Not provided"/>
    <s v="Prior to 2012"/>
    <n v="0"/>
    <s v="N/A"/>
    <s v="Tidal Caloosahatchee"/>
    <s v="Not provided"/>
    <s v="Not provided"/>
    <s v="Not provided"/>
    <s v="City"/>
    <s v="City - $172,629"/>
    <s v="TBD"/>
    <s v="N/A"/>
    <s v="Not provided"/>
    <s v="Not provided"/>
    <s v="N/A"/>
    <m/>
    <s v="Structural"/>
    <s v="Completed"/>
    <n v="2012"/>
    <n v="0"/>
    <s v="N/A"/>
  </r>
  <r>
    <n v="2297"/>
    <s v="City of Cape Coral"/>
    <s v="N/A"/>
    <s v="CC-08"/>
    <s v="SE Pipe Replacement"/>
    <s v="SE pipe replacement."/>
    <s v="Stormwater System Rehabilitation"/>
    <x v="1"/>
    <s v="Not provided"/>
    <s v="Prior to 2012"/>
    <s v="N/A"/>
    <s v="N/A"/>
    <s v="Tidal Caloosahatchee"/>
    <s v="Not provided"/>
    <s v="Not provided"/>
    <s v="Not provided"/>
    <s v="City"/>
    <s v="Not provided"/>
    <s v="N/A"/>
    <s v="N/A"/>
    <s v="Not provided"/>
    <s v="Not provided"/>
    <s v="N/A"/>
    <m/>
    <s v="Structural"/>
    <s v="Completed"/>
    <n v="2012"/>
    <n v="0"/>
    <s v="N/A"/>
  </r>
  <r>
    <n v="2298"/>
    <s v="City of Cape Coral"/>
    <s v="N/A"/>
    <s v="CC-09"/>
    <s v="Unit 23 – SE 8th Street Drainage"/>
    <s v="Unit 23–SE 8th Street drainage."/>
    <s v="Stormwater System Rehabilitation"/>
    <x v="1"/>
    <s v="Not provided"/>
    <s v="Prior to 2012"/>
    <s v="N/A"/>
    <s v="N/A"/>
    <s v="Tidal Caloosahatchee"/>
    <s v="Not provided"/>
    <s v="Not provided"/>
    <s v="Not provided"/>
    <s v="City"/>
    <s v="Not provided"/>
    <s v="N/A"/>
    <s v="N/A"/>
    <s v="Not provided"/>
    <s v="Not provided"/>
    <s v="N/A"/>
    <m/>
    <s v="Structural"/>
    <s v="Completed"/>
    <n v="2012"/>
    <n v="0"/>
    <s v="N/A"/>
  </r>
  <r>
    <n v="2361"/>
    <s v="City of Cape Coral"/>
    <s v="N/A"/>
    <s v="CC-10"/>
    <s v="Freshwater Canal Detention"/>
    <s v="Regulation of freshwater canals through existing control structures."/>
    <s v="Control Structure"/>
    <x v="1"/>
    <s v="Not provided"/>
    <s v="Prior to 2012"/>
    <n v="4415.9061545880486"/>
    <n v="3411.7144657723475"/>
    <s v="Tidal Caloosahatchee"/>
    <n v="10702"/>
    <s v="Not provided"/>
    <s v="Not provided"/>
    <s v="City"/>
    <s v="Not provided"/>
    <s v="N/A"/>
    <s v="N/A"/>
    <s v="Not provided"/>
    <s v="Not provided"/>
    <s v="N/A"/>
    <m/>
    <s v="Structural"/>
    <s v="Completed"/>
    <n v="2012"/>
    <n v="18130.525831999999"/>
    <s v="N/A"/>
  </r>
  <r>
    <n v="2299"/>
    <s v="City of Cape Coral"/>
    <s v="N/A"/>
    <s v="CC-11"/>
    <s v="Freshwater Canal Irrigation"/>
    <s v="Pump stormwater stored in canals into irrigation supply network."/>
    <s v="Stormwater Reuse"/>
    <x v="1"/>
    <s v="Not provided"/>
    <s v="Prior to 2012"/>
    <n v="796"/>
    <n v="140.80000000000001"/>
    <s v="Tidal Caloosahatchee"/>
    <s v="Not provided"/>
    <s v="Not provided"/>
    <s v="Not provided"/>
    <s v="City"/>
    <s v="Not provided"/>
    <s v="N/A"/>
    <s v="N/A"/>
    <s v="Not provided"/>
    <s v="Not provided"/>
    <s v="N/A"/>
    <m/>
    <s v="Structural"/>
    <s v="Completed"/>
    <n v="2012"/>
    <n v="12550.89064"/>
    <s v="N/A"/>
  </r>
  <r>
    <n v="2330"/>
    <s v="City of Cape Coral"/>
    <s v="N/A"/>
    <s v="CC-12"/>
    <s v="Weir #6 Elevation/ Basin 12"/>
    <s v="Installed riser on weir in freshwater canal system to provide additional retention volume in canals."/>
    <s v="Control Structure"/>
    <x v="1"/>
    <s v="Not provided"/>
    <s v="Prior to 2012"/>
    <s v="N/A"/>
    <s v="N/A"/>
    <s v="Tidal Caloosahatchee"/>
    <n v="932"/>
    <s v="Not provided"/>
    <s v="Not provided"/>
    <s v="City"/>
    <s v="Not provided"/>
    <s v="N/A"/>
    <s v="N/A"/>
    <s v="Not provided"/>
    <s v="Not provided"/>
    <s v="N/A"/>
    <m/>
    <s v="Structural"/>
    <s v="Completed"/>
    <n v="2012"/>
    <n v="0"/>
    <s v="N/A"/>
  </r>
  <r>
    <n v="2300"/>
    <s v="City of Cape Coral"/>
    <s v="N/A"/>
    <s v="CC-13"/>
    <s v="Weir #1 Elevation/ Basin 15"/>
    <s v="Installed riser on weir in freshwater canal system to provide additional retention volume in canals."/>
    <s v="Control Structure"/>
    <x v="1"/>
    <s v="Not provided"/>
    <s v="Prior to 2012"/>
    <s v="N/A"/>
    <s v="N/A"/>
    <s v="Tidal Caloosahatchee"/>
    <n v="1314"/>
    <s v="Not provided"/>
    <s v="Not provided"/>
    <s v="City"/>
    <s v="Not provided"/>
    <s v="N/A"/>
    <s v="N/A"/>
    <s v="Not provided"/>
    <s v="Not provided"/>
    <s v="N/A"/>
    <m/>
    <s v="Structural"/>
    <s v="Completed"/>
    <n v="2012"/>
    <n v="0"/>
    <s v="N/A"/>
  </r>
  <r>
    <n v="2301"/>
    <s v="City of Cape Coral"/>
    <s v="N/A"/>
    <s v="CC-14"/>
    <s v="Street Sweeping"/>
    <s v="Street sweeping of downtown area, alleys, and commercial roads."/>
    <s v="Street Sweeping"/>
    <x v="2"/>
    <s v="2015"/>
    <s v="N/A"/>
    <n v="245.7507490952089"/>
    <n v="140.54965445521"/>
    <s v="Tidal Caloosahatchee"/>
    <s v="N/A"/>
    <s v="Not provided"/>
    <n v="360000"/>
    <s v="City"/>
    <s v="Not provided"/>
    <s v="N/A"/>
    <s v="N/A"/>
    <s v="Not provided"/>
    <s v="Not provided"/>
    <s v="N/A"/>
    <m/>
    <s v="Non-structural"/>
    <s v="Ongoing"/>
    <n v="2014"/>
    <n v="491.69372800000002"/>
    <s v="N/A"/>
  </r>
  <r>
    <n v="2302"/>
    <s v="City of Cape Coral"/>
    <s v="N/A"/>
    <s v="CC-15"/>
    <s v="Septic to Sewer Phase Out Project"/>
    <s v="Phase out septic tanks in Southwest 6/7 area."/>
    <s v="OSTDS Phase Out"/>
    <x v="1"/>
    <s v="Not provided"/>
    <s v="2015"/>
    <n v="66149"/>
    <s v="N/A"/>
    <s v="Tidal Caloosahatchee"/>
    <n v="2560"/>
    <s v="Not provided"/>
    <s v="Not provided"/>
    <s v="City"/>
    <s v="Not provided"/>
    <s v="N/A"/>
    <s v="N/A"/>
    <s v="Not provided"/>
    <s v="Not provided"/>
    <s v="N/A"/>
    <m/>
    <s v="Structural"/>
    <s v="Completed"/>
    <n v="2015"/>
    <s v="TBD"/>
    <s v="N/A"/>
  </r>
  <r>
    <n v="2332"/>
    <s v="City of Cape Coral"/>
    <s v="N/A"/>
    <s v="CC-16"/>
    <s v="Catch Basin Cleanout"/>
    <s v="Catch basin cleanouts from Caloosahatchee Watershed areas."/>
    <s v="Catch Basin Inserts/Inlet Filter Cleanout"/>
    <x v="1"/>
    <s v="2015"/>
    <s v="2015"/>
    <n v="109.32637887505491"/>
    <n v="56.023288838789995"/>
    <s v="Tidal Caloosahatchee"/>
    <s v="Not provided"/>
    <s v="Not provided"/>
    <n v="170000"/>
    <s v="City"/>
    <s v="Not provided"/>
    <s v="N/A"/>
    <s v="N/A"/>
    <s v="Not provided"/>
    <s v="Not provided"/>
    <s v="N/A"/>
    <m/>
    <s v="Non-structural"/>
    <m/>
    <n v="2016"/>
    <n v="267.61928"/>
    <s v="N/A"/>
  </r>
  <r>
    <n v="4365"/>
    <s v="City of Cape Coral"/>
    <s v="N/A"/>
    <s v="CC-17"/>
    <s v="Unit 8 – SE 47th Terrace Streetscape Improvements Club Square"/>
    <s v="Suntree Technologies Skimboss and Bold and Gold Media - Club Square."/>
    <s v="Baffle Boxes- Second Generation with Media"/>
    <x v="1"/>
    <s v="Not provided"/>
    <s v="2018"/>
    <s v="TBD"/>
    <s v="TBD"/>
    <s v="Tidal Caloosahatchee"/>
    <n v="5"/>
    <s v="Not provided"/>
    <s v="Not provided"/>
    <s v="City of Cape Coral"/>
    <s v="Not provided"/>
    <s v="N/A"/>
    <s v="N/A"/>
    <n v="26.564589000000002"/>
    <n v="-81.958070000000006"/>
    <s v="N/A"/>
    <m/>
    <s v="Structural"/>
    <s v="Completed"/>
    <n v="2018"/>
    <s v="Not provided"/>
    <s v="Not provided"/>
  </r>
  <r>
    <n v="4366"/>
    <s v="City of Cape Coral"/>
    <s v="City of Fort Myers"/>
    <s v="CC-18"/>
    <s v="Ft Myers Cape Coral Wastewater Pipeline"/>
    <s v="Elimination of wastewater treatment plant effluent discharges to the river from Ft Myers by conveying wastewater to Cape Coral for reuse in Cape Coral water reclamation system."/>
    <s v="WWTF Diversion to Reuse"/>
    <x v="3"/>
    <s v="Not provided"/>
    <s v="TBD"/>
    <s v="TBD"/>
    <s v="TBD"/>
    <s v="Tidal Caloosahatchee"/>
    <s v="N/A"/>
    <s v="Not provided"/>
    <s v="Not provided"/>
    <s v="City of Cape Coral"/>
    <s v="Not provided"/>
    <s v="N/A"/>
    <s v="N/A"/>
    <n v="26.59652977"/>
    <n v="-81.889768259999997"/>
    <s v="Entity did not respond to requests"/>
    <m/>
    <s v="Structural"/>
    <s v="Underway"/>
    <n v="2018"/>
    <s v="Not provided"/>
    <s v="Not provided"/>
  </r>
  <r>
    <n v="4840"/>
    <s v="City of Cape Coral"/>
    <s v="Lee County"/>
    <s v="CC-19"/>
    <s v="Yellow Fever Creek Hydrologic Restoration"/>
    <s v="Transfer water from Gator Slough to a new reservoir in Yellow Fever Creek and slowly releasing the flow into the headwaters of Yellow Fever Creek, extending wetland hydroperiods."/>
    <s v="Hydrologic Restoration"/>
    <x v="3"/>
    <s v="Not provided"/>
    <s v="TBD"/>
    <n v="13.5"/>
    <n v="18.8"/>
    <s v="Tidal Caloosahatchee"/>
    <n v="30.55"/>
    <s v="TBD"/>
    <s v="TBD"/>
    <s v="Not provided"/>
    <s v="Not provided"/>
    <s v="N/A"/>
    <s v="Not provided"/>
    <n v="26.71308702"/>
    <n v="-81.930542399999993"/>
    <s v="N/A"/>
    <m/>
    <s v="Structural"/>
    <s v="Underway"/>
    <n v="2019"/>
    <s v="N/A"/>
    <s v="N/A"/>
  </r>
  <r>
    <n v="5172"/>
    <s v="Clewiston Drainage District"/>
    <s v="City of Clewiston/ DEP/ FDACS"/>
    <s v="CD-01"/>
    <s v="Public Education and Outreach"/>
    <s v="Updates on BMAP and requirements during annual landowner meetings."/>
    <s v="Education Efforts"/>
    <x v="0"/>
    <s v="2021"/>
    <s v="N/A"/>
    <s v="N/A"/>
    <s v="N/A"/>
    <s v="East Caloosahatchee"/>
    <s v="N/A"/>
    <n v="500"/>
    <s v="N/A"/>
    <s v="Clewiston Drainage District"/>
    <s v="$500"/>
    <s v="N/A"/>
    <s v="N/A"/>
    <n v="26.750692000000001"/>
    <n v="-80.936481000000001"/>
    <s v="N/A"/>
    <m/>
    <s v="Non-structural"/>
    <m/>
    <n v="2019"/>
    <s v="N/A"/>
    <s v="N/A"/>
  </r>
  <r>
    <n v="5173"/>
    <s v="Clewiston Drainage District"/>
    <s v="FDACS"/>
    <s v="CD-02"/>
    <s v="FDACS BMP Assistance"/>
    <s v="Provide assistance to FDACS, as needed, to encourage landowners to enroll in BMPs."/>
    <s v="Agricultural BMPs"/>
    <x v="0"/>
    <s v="2021"/>
    <s v="N/A"/>
    <s v="N/A"/>
    <s v="N/A"/>
    <s v="East Caloosahatchee"/>
    <s v="N/A"/>
    <n v="1000"/>
    <s v="N/A"/>
    <s v="Clewiston Drainage District"/>
    <s v="$1,000"/>
    <s v="N/A"/>
    <s v="N/A"/>
    <n v="26.750692000000001"/>
    <n v="-80.936481000000001"/>
    <s v="N/A"/>
    <m/>
    <s v="Non-structural"/>
    <m/>
    <n v="2019"/>
    <s v="N/A"/>
    <s v="N/A"/>
  </r>
  <r>
    <n v="5174"/>
    <s v="Clewiston Drainage District"/>
    <s v="N/A"/>
    <s v="CD-03"/>
    <s v="Nutrient Controls"/>
    <s v="No application of fertilizer in district's rights-of-way."/>
    <s v="Fertilizer Cessation"/>
    <x v="1"/>
    <s v="2020"/>
    <s v="2020"/>
    <s v="N/A"/>
    <s v="N/A"/>
    <s v="East Caloosahatchee"/>
    <s v="N/A"/>
    <n v="0"/>
    <s v="N/A"/>
    <s v="Clewiston Drainage District"/>
    <s v="N/A"/>
    <s v="N/A"/>
    <s v="N/A"/>
    <n v="26.755175000000001"/>
    <n v="-80.935078000000004"/>
    <s v="N/A"/>
    <m/>
    <s v="Non-structural"/>
    <m/>
    <n v="2019"/>
    <s v="N/A"/>
    <s v="N/A"/>
  </r>
  <r>
    <n v="5175"/>
    <s v="Clewiston Drainage District"/>
    <s v="N/A"/>
    <s v="CD-04"/>
    <s v="Control Structures"/>
    <s v="Annual maintenance of water control structures."/>
    <s v="Control Structure"/>
    <x v="2"/>
    <s v="2020"/>
    <s v="N/A"/>
    <s v="N/A"/>
    <s v="N/A"/>
    <s v="East Caloosahatchee"/>
    <s v="N/A"/>
    <n v="22500"/>
    <s v="N/A"/>
    <s v="Clewiston Drainage District"/>
    <s v="$22,500"/>
    <s v="N/A"/>
    <s v="N/A"/>
    <n v="26.75631388888889"/>
    <n v="-80.927722222222229"/>
    <s v="N/A"/>
    <m/>
    <s v="Structural"/>
    <m/>
    <n v="2019"/>
    <s v="N/A"/>
    <s v="N/A"/>
  </r>
  <r>
    <n v="5176"/>
    <s v="Clewiston Drainage District"/>
    <s v="N/A"/>
    <s v="CD-05"/>
    <s v="Aquatic Vegetation Control"/>
    <s v="Mechanical removal of vegetation."/>
    <s v="Aquatic Vegetation Harvesting"/>
    <x v="0"/>
    <s v="2020"/>
    <s v="N/A"/>
    <s v="N/A"/>
    <s v="N/A"/>
    <s v="East Caloosahatchee"/>
    <s v="N/A"/>
    <n v="2000"/>
    <s v="N/A"/>
    <s v="Clewiston Drainage District"/>
    <s v="$14,000"/>
    <s v="N/A"/>
    <s v="N/A"/>
    <n v="26.755175000000001"/>
    <n v="-80.935078000000004"/>
    <s v="N/A"/>
    <m/>
    <s v="Non-structural"/>
    <m/>
    <n v="2019"/>
    <s v="N/A"/>
    <s v="N/A"/>
  </r>
  <r>
    <n v="2331"/>
    <s v="Charlotte County"/>
    <s v="Not provided"/>
    <s v="CH-01"/>
    <s v="Education Efforts"/>
    <s v="Florida Yards and Neighborhoods (FYN) Program; landscape, irrigation, and fertilizer ordinances; pamphlets, public service announcements (PSAs), website, inspection/illicit discharge program."/>
    <s v="Education Efforts"/>
    <x v="2"/>
    <s v="Not provided"/>
    <s v="N/A"/>
    <n v="1272.2774924126636"/>
    <n v="212.39781875572319"/>
    <s v="Tidal Caloosahatchee; West Caloosahatchee"/>
    <s v="N/A"/>
    <s v="Not provided"/>
    <s v="Not provided"/>
    <s v="Not provided"/>
    <s v="Not provided"/>
    <s v="N/A"/>
    <s v="N/A"/>
    <s v="N/A"/>
    <s v="N/A"/>
    <s v="N/A"/>
    <m/>
    <s v="Non-structural"/>
    <s v="Ongoing"/>
    <n v="2012"/>
    <n v="172.71195788"/>
    <s v="N/A"/>
  </r>
  <r>
    <n v="5177"/>
    <s v="County Line Drainage District"/>
    <s v="DEP/ FDACS"/>
    <s v="CL-01"/>
    <s v="Public Education and Outreach"/>
    <s v="Updates on BMAP and requirements during annual landowner meetings."/>
    <s v="Education Efforts"/>
    <x v="0"/>
    <s v="Not provided"/>
    <s v="N/A"/>
    <s v="N/A"/>
    <s v="N/A"/>
    <s v="West Caloosahatchee"/>
    <s v="N/A"/>
    <s v="Not provided"/>
    <s v="N/A"/>
    <s v="County Line Drainage District"/>
    <s v="Not provided"/>
    <s v="N/A"/>
    <s v="N/A"/>
    <s v="Not provided"/>
    <s v="Not provided"/>
    <s v="N/A"/>
    <m/>
    <s v="Non-structural"/>
    <m/>
    <n v="2019"/>
    <s v="N/A"/>
    <s v="N/A"/>
  </r>
  <r>
    <n v="5178"/>
    <s v="County Line Drainage District"/>
    <s v="FDACS"/>
    <s v="CL-02"/>
    <s v="FDACS BMP Assistance"/>
    <s v="Provide assistance to FDACS, as needed, to encourage landowners to enroll in BMPs."/>
    <s v="Agricultural BMPs"/>
    <x v="0"/>
    <s v="Not provided"/>
    <s v="N/A"/>
    <s v="N/A"/>
    <s v="N/A"/>
    <s v="West Caloosahatchee"/>
    <s v="N/A"/>
    <s v="Not provided"/>
    <s v="N/A"/>
    <s v="County Line Drainage District"/>
    <s v="Not provided"/>
    <s v="N/A"/>
    <s v="N/A"/>
    <s v="Not provided"/>
    <s v="Not provided"/>
    <s v="N/A"/>
    <m/>
    <s v="Non-structural"/>
    <m/>
    <n v="2019"/>
    <s v="N/A"/>
    <s v="N/A"/>
  </r>
  <r>
    <n v="5179"/>
    <s v="County Line Drainage District"/>
    <s v="N/A"/>
    <s v="CL-03"/>
    <s v="Nutrient Controls"/>
    <s v="No application of fertilizer in district's rights-of-way."/>
    <s v="Fertilizer Cessation"/>
    <x v="1"/>
    <s v="Not provided"/>
    <s v="2020"/>
    <s v="N/A"/>
    <s v="N/A"/>
    <s v="West Caloosahatchee"/>
    <s v="N/A"/>
    <s v="Not provided"/>
    <s v="N/A"/>
    <s v="County Line Drainage District"/>
    <s v="Not provided"/>
    <s v="N/A"/>
    <s v="N/A"/>
    <s v="Not provided"/>
    <s v="Not provided"/>
    <s v="N/A"/>
    <m/>
    <s v="Non-structural"/>
    <m/>
    <n v="2019"/>
    <s v="N/A"/>
    <s v="N/A"/>
  </r>
  <r>
    <n v="5180"/>
    <s v="County Line Drainage District"/>
    <s v="N/A"/>
    <s v="CL-04"/>
    <s v="Canal Cleaning Program"/>
    <s v="Review and field evaluation of sediment accumulation and scheduling of removal, when necessary."/>
    <s v="Muck Removal/Restoration Dredging"/>
    <x v="0"/>
    <s v="Not provided"/>
    <s v="N/A"/>
    <s v="N/A"/>
    <s v="N/A"/>
    <s v="West Caloosahatchee"/>
    <s v="N/A"/>
    <s v="Not provided"/>
    <s v="N/A"/>
    <s v="County Line Drainage District"/>
    <s v="Not provided"/>
    <s v="N/A"/>
    <s v="N/A"/>
    <s v="Not provided"/>
    <s v="Not provided"/>
    <s v="N/A"/>
    <m/>
    <s v="Non-structural"/>
    <m/>
    <n v="2019"/>
    <s v="N/A"/>
    <s v="N/A"/>
  </r>
  <r>
    <n v="5181"/>
    <s v="County Line Drainage District"/>
    <s v="N/A"/>
    <s v="CL-05"/>
    <s v="Control Structures"/>
    <s v="Annual maintenance of water control structures."/>
    <s v="Control Structure"/>
    <x v="2"/>
    <s v="Not provided"/>
    <s v="N/A"/>
    <s v="N/A"/>
    <s v="N/A"/>
    <s v="West Caloosahatchee"/>
    <s v="N/A"/>
    <s v="Not provided"/>
    <s v="N/A"/>
    <s v="County Line Drainage District"/>
    <s v="Not provided"/>
    <s v="N/A"/>
    <s v="N/A"/>
    <s v="Not provided"/>
    <s v="Not provided"/>
    <s v="N/A"/>
    <m/>
    <s v="Structural"/>
    <m/>
    <n v="2019"/>
    <s v="N/A"/>
    <s v="N/A"/>
  </r>
  <r>
    <m/>
    <s v="City of Clewiston"/>
    <s v="N/A"/>
    <s v="CW-04"/>
    <s v="Reverse Osmosis WTP Dry Pond"/>
    <s v="Dry detention pond (volume required = 0.23 ac-ft, volume provided = 1.12 ac-ft)."/>
    <s v="Dry Detention Pond"/>
    <x v="1"/>
    <s v="2006"/>
    <s v="Prior to 2012"/>
    <n v="18.7"/>
    <n v="1.4"/>
    <s v="East Caloosahatchee"/>
    <n v="68"/>
    <s v="N/A"/>
    <s v="N/A"/>
    <s v="N/A"/>
    <s v="N/A"/>
    <s v="N/A"/>
    <s v="N/A"/>
    <n v="26.741323000000001"/>
    <n v="-80.938835999999995"/>
    <s v="N/A"/>
    <s v="N"/>
    <s v="Structural"/>
    <m/>
    <n v="2020"/>
    <s v="N/A"/>
    <s v="N/A"/>
  </r>
  <r>
    <m/>
    <s v="City of Clewiston"/>
    <s v="Sweet Lake Villas, LLC"/>
    <s v="CW-05"/>
    <s v="Sweet Lake Villas Community Association, Inc."/>
    <s v="Wet detention pond (volume required = 0.71 ac-ft, volume provided = 1.88 ac-ft)."/>
    <s v="Wet Detention Pond"/>
    <x v="1"/>
    <s v="2006"/>
    <s v="Prior to 2012"/>
    <n v="1.4"/>
    <n v="0.6"/>
    <s v="East Caloosahatchee"/>
    <n v="7.2"/>
    <s v="N/A"/>
    <s v="N/A"/>
    <s v="N/A"/>
    <s v="N/A"/>
    <s v="N/A"/>
    <s v="N/A"/>
    <n v="26.756734000000002"/>
    <n v="-80.945721000000006"/>
    <s v="N/A"/>
    <s v="N"/>
    <s v="Structural"/>
    <m/>
    <n v="2020"/>
    <s v="N/A"/>
    <s v="N/A"/>
  </r>
  <r>
    <m/>
    <s v="City of Clewiston"/>
    <s v="N/A"/>
    <s v="CW-06"/>
    <s v="East Ventura Water Quality"/>
    <s v="Constructed wetlands to treat runoff."/>
    <s v="Stormwater Treatment Areas (STAs)"/>
    <x v="3"/>
    <s v="2020"/>
    <s v="TBD"/>
    <n v="37.700000000000003"/>
    <n v="6.3"/>
    <s v="East Caloosahatchee"/>
    <n v="22.7"/>
    <n v="461000"/>
    <s v="TBD"/>
    <s v="Grant"/>
    <s v="$461,000"/>
    <s v="TBD"/>
    <s v="26-103570-P"/>
    <n v="26.751328000000001"/>
    <n v="-80.930082999999996"/>
    <s v="Grant"/>
    <s v="N"/>
    <s v="Structural"/>
    <m/>
    <n v="2020"/>
    <s v="N/A"/>
    <s v="N/A"/>
  </r>
  <r>
    <n v="5182"/>
    <s v="Collins Slough WCD"/>
    <s v="DEP/ FDACS"/>
    <s v="CS-01"/>
    <s v="Public Education and Outreach"/>
    <s v="Updates on BMAP and requirements during annual landowner meetings."/>
    <s v="Education Efforts"/>
    <x v="0"/>
    <s v="2021"/>
    <s v="N/A"/>
    <s v="N/A"/>
    <s v="N/A"/>
    <s v="East Caloosahatchee"/>
    <s v="N/A"/>
    <n v="500"/>
    <s v="N/A"/>
    <s v="Collins Slough WCD"/>
    <s v="$500"/>
    <s v="N/A"/>
    <s v="N/A"/>
    <n v="26.649243999999999"/>
    <n v="-81.274416000000002"/>
    <s v="N/A"/>
    <m/>
    <s v="Non-structural"/>
    <m/>
    <n v="2019"/>
    <s v="N/A"/>
    <s v="N/A"/>
  </r>
  <r>
    <n v="5183"/>
    <s v="Collins Slough WCD"/>
    <s v="FDACS"/>
    <s v="CS-02"/>
    <s v="FDACS BMP Assistance"/>
    <s v="Provide assistance to FDACS, as needed, to encourage landowners to enroll in BMPs."/>
    <s v="Agricultural BMPs"/>
    <x v="0"/>
    <s v="2021"/>
    <s v="N/A"/>
    <s v="N/A"/>
    <s v="N/A"/>
    <s v="East Caloosahatchee"/>
    <s v="N/A"/>
    <n v="1000"/>
    <s v="N/A"/>
    <s v="Collins Slough WCD"/>
    <s v="$1,000"/>
    <s v="N/A"/>
    <s v="N/A"/>
    <n v="26.649243999999999"/>
    <n v="-81.274416000000002"/>
    <s v="N/A"/>
    <m/>
    <s v="Non-structural"/>
    <m/>
    <n v="2019"/>
    <s v="N/A"/>
    <s v="N/A"/>
  </r>
  <r>
    <n v="5184"/>
    <s v="Collins Slough WCD"/>
    <s v="N/A"/>
    <s v="CS-03"/>
    <s v="Nutrient Controls"/>
    <s v="No application of fertilizer in district's rights-of-way."/>
    <s v="Fertilizer Cessation"/>
    <x v="1"/>
    <s v="2021"/>
    <s v="2020"/>
    <s v="N/A"/>
    <s v="N/A"/>
    <s v="East Caloosahatchee"/>
    <s v="N/A"/>
    <n v="0"/>
    <s v="N/A"/>
    <s v="Collins Slough WCD"/>
    <s v="N/A"/>
    <s v="N/A"/>
    <s v="N/A"/>
    <n v="26.657171999999999"/>
    <n v="-81.280753000000004"/>
    <s v="N/A"/>
    <m/>
    <s v="Non-structural"/>
    <m/>
    <n v="2019"/>
    <s v="N/A"/>
    <s v="N/A"/>
  </r>
  <r>
    <n v="5185"/>
    <s v="Collins Slough WCD"/>
    <s v="N/A"/>
    <s v="CS-04"/>
    <s v="Canal Cleaning Program"/>
    <s v="Review and field evaluation of sediment accumulation and scheduling of removal, when necessary."/>
    <s v="Muck Removal/Restoration Dredging"/>
    <x v="0"/>
    <s v="2021"/>
    <s v="N/A"/>
    <s v="N/A"/>
    <s v="N/A"/>
    <s v="East Caloosahatchee"/>
    <s v="N/A"/>
    <n v="75000"/>
    <s v="N/A"/>
    <s v="Collins Slough WCD"/>
    <s v="$75,000"/>
    <s v="N/A"/>
    <s v="N/A"/>
    <n v="26.657171999999999"/>
    <n v="-81.280753000000004"/>
    <s v="N/A"/>
    <m/>
    <s v="Non-structural"/>
    <m/>
    <n v="2019"/>
    <s v="N/A"/>
    <s v="N/A"/>
  </r>
  <r>
    <n v="5186"/>
    <s v="Collins Slough WCD"/>
    <s v="N/A"/>
    <s v="CS-05"/>
    <s v="Control Structures"/>
    <s v="Annual maintenance of water control structures."/>
    <s v="Control Structure"/>
    <x v="2"/>
    <s v="2021"/>
    <s v="N/A"/>
    <s v="N/A"/>
    <s v="N/A"/>
    <s v="East Caloosahatchee"/>
    <s v="N/A"/>
    <n v="20000"/>
    <s v="N/A"/>
    <s v="Collins Slough WCD"/>
    <s v="$20,000"/>
    <s v="N/A"/>
    <s v="N/A"/>
    <n v="26.779836"/>
    <n v="-81.233121999999995"/>
    <s v="N/A"/>
    <m/>
    <s v="Structural"/>
    <m/>
    <n v="2019"/>
    <s v="N/A"/>
    <s v="N/A"/>
  </r>
  <r>
    <n v="5187"/>
    <s v="Cow Slough WCD"/>
    <s v="DEP/ FDACS"/>
    <s v="CSW-01"/>
    <s v="Public Education and Outreach"/>
    <s v="Updates on BMAP and requirements during annual landowner meetings."/>
    <s v="Education Efforts"/>
    <x v="0"/>
    <s v="2020"/>
    <s v="N/A"/>
    <s v="N/A"/>
    <s v="N/A"/>
    <s v="West Caloosahatchee"/>
    <s v="N/A"/>
    <n v="500"/>
    <s v="N/A"/>
    <s v="Cow Slough WCD"/>
    <s v="$500"/>
    <s v="N/A"/>
    <s v="N/A"/>
    <n v="26.514897000000001"/>
    <n v="-81.454757999999998"/>
    <s v="N/A"/>
    <m/>
    <s v="Non-structural"/>
    <m/>
    <n v="2019"/>
    <s v="N/A"/>
    <s v="N/A"/>
  </r>
  <r>
    <n v="5188"/>
    <s v="Cow Slough WCD"/>
    <s v="FDACS"/>
    <s v="CSW-02"/>
    <s v="FDACS BMP Assistance"/>
    <s v="Provide assistance to FDACS, as needed, to encourage landowners to enroll in BMPs."/>
    <s v="Agricultural BMPs"/>
    <x v="0"/>
    <s v="2020"/>
    <s v="N/A"/>
    <s v="N/A"/>
    <s v="N/A"/>
    <s v="West Caloosahatchee"/>
    <s v="N/A"/>
    <n v="1000"/>
    <s v="N/A"/>
    <s v="Cow Slough WCD"/>
    <s v="$1,000"/>
    <s v="N/A"/>
    <s v="N/A"/>
    <n v="26.514897000000001"/>
    <n v="-81.454757999999998"/>
    <s v="N/A"/>
    <m/>
    <s v="Non-structural"/>
    <m/>
    <n v="2019"/>
    <s v="N/A"/>
    <s v="N/A"/>
  </r>
  <r>
    <n v="5189"/>
    <s v="Cow Slough WCD"/>
    <s v="N/A"/>
    <s v="CSW-03"/>
    <s v="Nutrient Controls"/>
    <s v="No application of fertilizer in district's rights-of-way."/>
    <s v="Fertilizer Cessation"/>
    <x v="1"/>
    <s v="2020"/>
    <s v="2020"/>
    <s v="N/A"/>
    <s v="N/A"/>
    <s v="West Caloosahatchee"/>
    <s v="N/A"/>
    <n v="0"/>
    <s v="N/A"/>
    <s v="Cow Slough WCD"/>
    <s v="N/A"/>
    <s v="N/A"/>
    <s v="N/A"/>
    <n v="26.531366999999999"/>
    <n v="-81.46105"/>
    <s v="N/A"/>
    <m/>
    <s v="Non-structural"/>
    <m/>
    <n v="2019"/>
    <s v="N/A"/>
    <s v="N/A"/>
  </r>
  <r>
    <n v="5190"/>
    <s v="Cow Slough WCD"/>
    <s v="N/A"/>
    <s v="CSW-04"/>
    <s v="Canal/Ditch Bank Berms"/>
    <s v="Minimize sediment transport by constructing berms on top of canal/ditch banks and promoting vegetation cover."/>
    <s v="Shoreline Stabilization"/>
    <x v="0"/>
    <s v="2020"/>
    <s v="N/A"/>
    <s v="N/A"/>
    <s v="N/A"/>
    <s v="West Caloosahatchee"/>
    <s v="N/A"/>
    <n v="13000"/>
    <s v="N/A"/>
    <s v="Cow Slough WCD"/>
    <s v="$13,000"/>
    <s v="N/A"/>
    <s v="N/A"/>
    <n v="26.53136722"/>
    <n v="-81.461050400000005"/>
    <s v="N/A"/>
    <m/>
    <s v="Structural"/>
    <m/>
    <n v="2019"/>
    <s v="N/A"/>
    <s v="N/A"/>
  </r>
  <r>
    <n v="5191"/>
    <s v="Cow Slough WCD"/>
    <s v="N/A"/>
    <s v="CSW-05"/>
    <s v="Control Structures"/>
    <s v="Annual maintenance of water control structures."/>
    <s v="Control Structure"/>
    <x v="2"/>
    <s v="2020"/>
    <s v="N/A"/>
    <s v="N/A"/>
    <s v="N/A"/>
    <s v="West Caloosahatchee"/>
    <s v="N/A"/>
    <n v="2500"/>
    <s v="N/A"/>
    <s v="Cow Slough WCD"/>
    <s v="$2,500"/>
    <s v="N/A"/>
    <s v="N/A"/>
    <n v="26.573"/>
    <n v="-81.465186000000003"/>
    <s v="N/A"/>
    <m/>
    <s v="Structural"/>
    <m/>
    <n v="2019"/>
    <s v="N/A"/>
    <s v="N/A"/>
  </r>
  <r>
    <n v="4841"/>
    <s v="City of Clewiston"/>
    <s v="N/A"/>
    <s v="CW-01"/>
    <s v="Clewiston Public Education"/>
    <s v="Landscaping, irrigation, fertilizer, and stormwater ordinances; PSAs; pamphlets; website; illicit discharge program."/>
    <s v="Education Efforts"/>
    <x v="2"/>
    <s v="N/A"/>
    <s v="N/A"/>
    <n v="194.46640778886223"/>
    <n v="29.469053180951033"/>
    <s v="East Caloosahatchee"/>
    <s v="N/A"/>
    <n v="10000"/>
    <s v="N/A"/>
    <s v="City General Fund"/>
    <s v="$10,000"/>
    <s v="N/A"/>
    <s v="N/A"/>
    <n v="26.749203000000001"/>
    <n v="-80.934822999999994"/>
    <s v="N/A"/>
    <s v="N"/>
    <s v="Non-structural"/>
    <s v="Underway"/>
    <n v="2019"/>
    <s v="N/A"/>
    <s v="N/A"/>
  </r>
  <r>
    <n v="4842"/>
    <s v="City of Clewiston"/>
    <s v="N/A"/>
    <s v="CW-02"/>
    <s v="Clewiston Street Sweeping"/>
    <s v="215 miles swept."/>
    <s v="Street Sweeping"/>
    <x v="2"/>
    <s v="N/A"/>
    <s v="N/A"/>
    <n v="74.096807986236243"/>
    <n v="45.305250127760701"/>
    <s v="East Caloosahatchee"/>
    <s v="N/A"/>
    <s v="N/A"/>
    <s v="N/A"/>
    <s v="City General Fund"/>
    <s v="N/A"/>
    <s v="N/A"/>
    <s v="N/A"/>
    <n v="26.749203000000001"/>
    <n v="-80.934822999999994"/>
    <s v="N/A"/>
    <s v="N"/>
    <s v="Non-structural"/>
    <s v="Underway"/>
    <n v="2019"/>
    <s v="N/A"/>
    <s v="N/A"/>
  </r>
  <r>
    <n v="4843"/>
    <s v="City of Clewiston"/>
    <s v="N/A"/>
    <s v="CW-03"/>
    <s v="Clewiston Inlet Maintenance"/>
    <s v="40 inlets cleaned."/>
    <s v="Catch Basin Inserts/Inlet Filter Cleanout"/>
    <x v="2"/>
    <s v="N/A"/>
    <s v="N/A"/>
    <n v="10.460725833350999"/>
    <n v="6.7118889078163999"/>
    <s v="East Caloosahatchee"/>
    <s v="N/A"/>
    <s v="N/A"/>
    <s v="N/A"/>
    <s v="City General Fund"/>
    <s v="N/A"/>
    <s v="N/A"/>
    <s v="N/A"/>
    <n v="26.749203000000001"/>
    <n v="-80.934822999999994"/>
    <s v="N/A"/>
    <s v="N"/>
    <s v="Non-structural"/>
    <s v="Underway"/>
    <n v="2019"/>
    <s v="N/A"/>
    <s v="N/A"/>
  </r>
  <r>
    <m/>
    <s v="Hendry County"/>
    <s v="HUD/ DEO"/>
    <s v="HC-01"/>
    <s v="Four Corners MSBU / County Line Ditch Widening"/>
    <s v="Hendry County residents in the vicinity of the project area experience frequent flooding conditions due to the lack of drainage infrastructure capacity. Improvements will allow the upstream watershed to pass through a system that will reduce nutrient loading prior to discharging into the Caloosahatchee River downstream."/>
    <s v="Retention/Detention BMP Retrofit with Nutrient Reducing Media"/>
    <x v="0"/>
    <s v="2021"/>
    <s v="2022"/>
    <s v="TBD"/>
    <s v="TBD"/>
    <s v="LaBelle, Hendry County"/>
    <s v="TBD"/>
    <s v="TBD"/>
    <s v="TBD"/>
    <s v="DEO"/>
    <s v="$4,297,112"/>
    <s v="N/A"/>
    <s v="N/A"/>
    <s v="26.748338"/>
    <s v="-81.566183"/>
    <s v="Apply for additional state grant funds as necessary"/>
    <s v="Attached PDF"/>
    <s v="Structural"/>
    <m/>
    <n v="2020"/>
    <s v="N/A"/>
    <s v="N/A"/>
  </r>
  <r>
    <m/>
    <s v="Hendry County"/>
    <s v="N/A"/>
    <s v="HC-02"/>
    <s v="North LaBelle Water Quality"/>
    <s v="Provide water quality components to treat stormwater along Mohawk Avenue prior to discharging into the Roy Brown Canal and flowing into the Caloosahatchee River."/>
    <s v="Retention/Detention BMP Retrofit with Nutrient Reducing Media"/>
    <x v="0"/>
    <s v="2023"/>
    <s v="2025"/>
    <s v="TBD"/>
    <s v="TBD"/>
    <s v="LaBelle, Hendry County"/>
    <s v="TBD"/>
    <n v="200000"/>
    <s v="TBD"/>
    <s v="North LaBelle Municipal Service Benefit Unit"/>
    <s v="$200,000"/>
    <s v="N/A"/>
    <s v="N/A"/>
    <s v="26.770547"/>
    <s v="-81.454361"/>
    <s v="N/A"/>
    <s v="Attached PDF"/>
    <s v="Structural"/>
    <m/>
    <n v="2020"/>
    <s v="N/A"/>
    <s v="N/A"/>
  </r>
  <r>
    <m/>
    <s v="Hendry County"/>
    <s v="DEP/ Port LaBelle Utility System/ City of Clewiston/ Airglades Airport/ Tetra Tech"/>
    <s v="HC-03"/>
    <s v="Phase 1 of a Force Main Extension from Airglades Airport to the City of Clewiston"/>
    <s v="Hendry County plans to construct a force main that will extend from the Airglades Airport to the City of Clewiston. The work consists of constructing a wastewater transmission system to convey raw wastewater from the Airglades Airport WWTP to the City of Clewiston WWTP. The force main will allow the existing Airglades Airport WWTP to be converted to a master pumping station and will transfer wastewater flows to the City of Clewiston’s WWTP."/>
    <s v="WWTF Upgrade"/>
    <x v="3"/>
    <s v="2016"/>
    <s v="2022"/>
    <s v="N/A"/>
    <s v="N/A"/>
    <s v="Clewiston, Hendry County"/>
    <s v="N/A"/>
    <n v="1284529.57"/>
    <s v="N/A"/>
    <s v="DEP"/>
    <s v="$1,075,195"/>
    <s v="LPA0086"/>
    <s v="N/A"/>
    <s v="26.725100"/>
    <s v=" -80.954200"/>
    <s v="Apply for additional state grant funds as necessary"/>
    <s v="Attached PDF"/>
    <s v="Structural"/>
    <m/>
    <n v="2020"/>
    <s v="N/A"/>
    <s v="N/A"/>
  </r>
  <r>
    <n v="5192"/>
    <s v="Devil's Garden WCD"/>
    <s v="DEP/ FDACS"/>
    <s v="DG-01"/>
    <s v="Public Education and Outreach"/>
    <s v="Updates on BMAP and requirements during annual landowner meetings."/>
    <s v="Education Efforts"/>
    <x v="0"/>
    <s v="2020"/>
    <s v="N/A"/>
    <s v="N/A"/>
    <s v="N/A"/>
    <s v="West Caloosahatchee"/>
    <s v="N/A"/>
    <n v="500"/>
    <s v="N/A"/>
    <s v="Devil's Garden WCD"/>
    <s v="$500"/>
    <s v="N/A"/>
    <s v="N/A"/>
    <n v="26.594802999999999"/>
    <n v="-81.232530999999994"/>
    <s v="N/A"/>
    <m/>
    <s v="Non-structural"/>
    <m/>
    <n v="2019"/>
    <s v="N/A"/>
    <s v="N/A"/>
  </r>
  <r>
    <n v="5193"/>
    <s v="Devil's Garden WCD"/>
    <s v="FDACS"/>
    <s v="DG-02"/>
    <s v="FDACS BMP Assistance"/>
    <s v="Provide assistance to FDACS, as needed, to encourage landowners to enroll in BMPs."/>
    <s v="Agricultural BMPs"/>
    <x v="0"/>
    <s v="2020"/>
    <s v="N/A"/>
    <s v="N/A"/>
    <s v="N/A"/>
    <s v="West Caloosahatchee"/>
    <s v="N/A"/>
    <n v="1000"/>
    <s v="N/A"/>
    <s v="Devil's Garden WCD"/>
    <s v="$1,000"/>
    <s v="N/A"/>
    <s v="N/A"/>
    <n v="26.594802999999999"/>
    <n v="-81.232530999999994"/>
    <s v="N/A"/>
    <m/>
    <s v="Non-structural"/>
    <m/>
    <n v="2019"/>
    <s v="N/A"/>
    <s v="N/A"/>
  </r>
  <r>
    <n v="5194"/>
    <s v="Devil's Garden WCD"/>
    <s v="N/A"/>
    <s v="DG-03"/>
    <s v="Nutrient Controls"/>
    <s v="No application of fertilizer in district's rights-of-way."/>
    <s v="Fertilizer Cessation"/>
    <x v="1"/>
    <s v="2020"/>
    <s v="2020"/>
    <s v="N/A"/>
    <s v="N/A"/>
    <s v="West Caloosahatchee"/>
    <s v="N/A"/>
    <n v="0"/>
    <s v="N/A"/>
    <s v="Devil's Garden WCD"/>
    <s v="N/A"/>
    <s v="N/A"/>
    <s v="N/A"/>
    <n v="26.625883000000002"/>
    <n v="-81.236528000000007"/>
    <s v="N/A"/>
    <m/>
    <s v="Non-structural"/>
    <m/>
    <n v="2019"/>
    <s v="N/A"/>
    <s v="N/A"/>
  </r>
  <r>
    <n v="5195"/>
    <s v="Devil's Garden WCD"/>
    <s v="N/A"/>
    <s v="DG-04"/>
    <s v="Canal Cleaning Program"/>
    <s v="Review and field evaluation of sediment accumulation and scheduling of removal, when necessary."/>
    <s v="Muck Removal/Restoration Dredging"/>
    <x v="0"/>
    <s v="2020"/>
    <s v="N/A"/>
    <s v="N/A"/>
    <s v="N/A"/>
    <s v="West Caloosahatchee"/>
    <s v="N/A"/>
    <n v="75000"/>
    <s v="N/A"/>
    <s v="Devil's Garden WCD"/>
    <s v="$75,000"/>
    <s v="N/A"/>
    <s v="N/A"/>
    <n v="26.625883000000002"/>
    <n v="-81.236528000000007"/>
    <s v="N/A"/>
    <m/>
    <s v="Non-structural"/>
    <m/>
    <n v="2019"/>
    <s v="N/A"/>
    <s v="N/A"/>
  </r>
  <r>
    <n v="5196"/>
    <s v="Devil's Garden WCD"/>
    <s v="N/A"/>
    <s v="DG-05"/>
    <s v="Control Structures"/>
    <s v="Annual maintenance of water control structures."/>
    <s v="Control Structure"/>
    <x v="2"/>
    <s v="2021"/>
    <s v="N/A"/>
    <s v="N/A"/>
    <s v="N/A"/>
    <s v="West Caloosahatchee"/>
    <s v="N/A"/>
    <n v="20000"/>
    <s v="N/A"/>
    <s v="Devil's Garden WCD"/>
    <s v="$20,000"/>
    <s v="N/A"/>
    <s v="N/A"/>
    <n v="26.779793999999999"/>
    <n v="-81.233103"/>
    <s v="N/A"/>
    <m/>
    <s v="Structural"/>
    <m/>
    <n v="2019"/>
    <s v="N/A"/>
    <s v="N/A"/>
  </r>
  <r>
    <n v="5197"/>
    <s v="Disston Island Conservancy District"/>
    <s v="DEP/ FDACS"/>
    <s v="DI-01"/>
    <s v="Public Education and Outreach"/>
    <s v="Updates on BMAP and requirements during annual landowner meetings."/>
    <s v="Education Efforts"/>
    <x v="0"/>
    <s v="2021"/>
    <s v="N/A"/>
    <s v="N/A"/>
    <s v="N/A"/>
    <s v="East Caloosahatchee"/>
    <s v="N/A"/>
    <n v="500"/>
    <s v="N/A"/>
    <s v="Disston Island Conservancy District"/>
    <s v="$500"/>
    <s v="N/A"/>
    <s v="N/A"/>
    <n v="27.789338999999998"/>
    <n v="-81.032527999999999"/>
    <s v="N/A"/>
    <m/>
    <s v="Non-structural"/>
    <m/>
    <n v="2019"/>
    <s v="N/A"/>
    <s v="N/A"/>
  </r>
  <r>
    <n v="5198"/>
    <s v="Disston Island Conservancy District"/>
    <s v="FDACS"/>
    <s v="DI-02"/>
    <s v="FDACS BMP Assistance"/>
    <s v="Provide assistance to FDACS, as needed, to encourage landowners to enroll in BMPs."/>
    <s v="Agricultural BMPs"/>
    <x v="0"/>
    <s v="2020"/>
    <s v="N/A"/>
    <s v="N/A"/>
    <s v="N/A"/>
    <s v="East Caloosahatchee"/>
    <s v="N/A"/>
    <n v="1000"/>
    <s v="N/A"/>
    <s v="Disston Island Conservancy District"/>
    <s v="$1,000"/>
    <s v="N/A"/>
    <s v="N/A"/>
    <n v="27.789338999999998"/>
    <n v="-81.032527999999999"/>
    <s v="N/A"/>
    <m/>
    <s v="Non-structural"/>
    <m/>
    <n v="2019"/>
    <s v="N/A"/>
    <s v="N/A"/>
  </r>
  <r>
    <n v="5199"/>
    <s v="Disston Island Conservancy District"/>
    <s v="N/A"/>
    <s v="DI-03"/>
    <s v="Nutrient Controls"/>
    <s v="No application of fertilizer in district's rights-of-way."/>
    <s v="Fertilizer Cessation"/>
    <x v="1"/>
    <s v="2020"/>
    <s v="2020"/>
    <s v="N/A"/>
    <s v="N/A"/>
    <s v="East Caloosahatchee"/>
    <s v="N/A"/>
    <n v="0"/>
    <s v="N/A"/>
    <s v="Disston Island Conservancy District"/>
    <s v="N/A"/>
    <s v="N/A"/>
    <s v="N/A"/>
    <n v="26.791571999999999"/>
    <n v="-81.027574999999999"/>
    <s v="N/A"/>
    <m/>
    <s v="Non-structural"/>
    <m/>
    <n v="2019"/>
    <s v="N/A"/>
    <s v="N/A"/>
  </r>
  <r>
    <n v="5200"/>
    <s v="Disston Island Conservancy District"/>
    <s v="N/A"/>
    <s v="DI-04"/>
    <s v="Slow Velocity in the Main Canal"/>
    <s v="Minimize sediment transport by slowing velocity in main canal near main discharge structure."/>
    <s v="Control Structure"/>
    <x v="0"/>
    <s v="2021"/>
    <s v="TBD"/>
    <s v="N/A"/>
    <s v="N/A"/>
    <s v="East Caloosahatchee"/>
    <s v="N/A"/>
    <s v="TBD"/>
    <s v="N/A"/>
    <s v="Disston Island Conservancy District"/>
    <s v="TBD"/>
    <s v="N/A"/>
    <s v="N/A"/>
    <n v="26.784144000000001"/>
    <n v="-81.037333000000004"/>
    <s v="N/A"/>
    <m/>
    <s v="Structural"/>
    <m/>
    <n v="2019"/>
    <s v="N/A"/>
    <s v="N/A"/>
  </r>
  <r>
    <n v="5201"/>
    <s v="Disston Island Conservancy District"/>
    <s v="N/A"/>
    <s v="DI-05"/>
    <s v="Control Structures"/>
    <s v="Annual maintenance of water control structures."/>
    <s v="Control Structure"/>
    <x v="2"/>
    <s v="2021"/>
    <s v="N/A"/>
    <s v="N/A"/>
    <s v="N/A"/>
    <s v="East Caloosahatchee"/>
    <s v="N/A"/>
    <s v="TBD"/>
    <s v="N/A"/>
    <s v="Disston Island Conservancy District"/>
    <s v="TBD"/>
    <s v="N/A"/>
    <s v="N/A"/>
    <n v="26.806014000000001"/>
    <n v="-81.029964000000007"/>
    <s v="N/A"/>
    <m/>
    <s v="Structural"/>
    <m/>
    <n v="2019"/>
    <s v="N/A"/>
    <s v="N/A"/>
  </r>
  <r>
    <n v="2345"/>
    <s v="FDACS"/>
    <s v="Agricultural Producers"/>
    <s v="FDACS-01"/>
    <s v="BMP Implementation and Verification"/>
    <s v="Enrollment and verification of BMPs by agricultural producers. Attenuated reductions based on HSPF model. Acres treated based on FDACS OAWP December 2020 Enrollment and FSAID VII."/>
    <s v="Agricultural BMPs"/>
    <x v="2"/>
    <s v="N/A"/>
    <s v="N/A"/>
    <n v="62208"/>
    <n v="2295"/>
    <s v="Tidal Caloosahatchee"/>
    <n v="49057.663228099998"/>
    <s v="N/A"/>
    <s v="N/A"/>
    <s v="FDACS"/>
    <s v="TBD"/>
    <s v="N/A"/>
    <s v="N/A"/>
    <s v="N/A"/>
    <s v="N/A"/>
    <s v="N/A"/>
    <s v="Y"/>
    <s v="Non-structural"/>
    <s v="Ongoing"/>
    <n v="2012"/>
    <s v="N/A"/>
    <s v="N/A"/>
  </r>
  <r>
    <n v="4844"/>
    <s v="FDACS"/>
    <s v="Agricultural Producers"/>
    <s v="FDACS-02"/>
    <s v="BMP Implementation and Verification"/>
    <s v="Enrollment and verification of BMPs by agricultural producers. Attenuated reductions based on HSPF model. Acres treated based on FDACS OAWP December 2020 Enrollment and FSAID VII."/>
    <s v="Agricultural BMPs"/>
    <x v="2"/>
    <s v="N/A"/>
    <s v="N/A"/>
    <n v="178228"/>
    <n v="10123"/>
    <s v="West Caloosahatchee"/>
    <n v="149388.42381099999"/>
    <s v="N/A"/>
    <s v="N/A"/>
    <s v="FDACS"/>
    <s v="TBD"/>
    <s v="N/A"/>
    <s v="N/A"/>
    <s v="N/A"/>
    <s v="N/A"/>
    <s v="N/A"/>
    <s v="Y"/>
    <s v="Non-structural"/>
    <s v="Completed"/>
    <n v="2019"/>
    <s v="N/A"/>
    <s v="N/A"/>
  </r>
  <r>
    <n v="4845"/>
    <s v="FDACS"/>
    <s v="Agricultural Producers"/>
    <s v="FDACS-03"/>
    <s v="BMP Implementation and Verification"/>
    <s v="Enrollment and verification of BMPs by agricultural producers. Attenuated reductions based on HSPF model. Acres treated based on FDACS OAWP December 2020 Enrollment and FSAID VII."/>
    <s v="Agricultural BMPs"/>
    <x v="2"/>
    <s v="N/A"/>
    <s v="N/A"/>
    <n v="119099"/>
    <n v="5298"/>
    <s v="East Caloosahatchee"/>
    <n v="180103.99406999999"/>
    <s v="N/A"/>
    <s v="N/A"/>
    <s v="FDACS"/>
    <s v="TBD"/>
    <s v="N/A"/>
    <s v="N/A"/>
    <s v="N/A"/>
    <s v="N/A"/>
    <s v="N/A"/>
    <s v="Y"/>
    <s v="Non-structural"/>
    <s v="Completed"/>
    <n v="2019"/>
    <s v="N/A"/>
    <s v="N/A"/>
  </r>
  <r>
    <n v="4846"/>
    <s v="FDACS"/>
    <s v="Agricultural Producers"/>
    <s v="FDACS-04"/>
    <s v="Cost-Share BMP Projects"/>
    <s v="Cost-share projects paid for by FDACS. Acres treated based on FDACS OAWP June 2020 Enrollment. Reductions estimated by DEP using 2020 BMAP LET."/>
    <s v="Agricultural BMPs"/>
    <x v="2"/>
    <s v="Not provided"/>
    <s v="N/A"/>
    <n v="20202.717250264785"/>
    <n v="1254.9082908748187"/>
    <s v="Tidal Caloosahatchee"/>
    <n v="7107"/>
    <s v="TBD"/>
    <s v="TBD"/>
    <s v="TBD"/>
    <s v="TBD"/>
    <s v="N/A"/>
    <s v="N/A"/>
    <s v="N/A"/>
    <s v="N/A"/>
    <s v="N/A"/>
    <s v="Y"/>
    <s v="Non-structural"/>
    <s v="Completed"/>
    <n v="2019"/>
    <s v="N/A"/>
    <s v="N/A"/>
  </r>
  <r>
    <n v="4847"/>
    <s v="FDACS"/>
    <s v="Agricultural Producers"/>
    <s v="FDACS-05"/>
    <s v="Cost-Share BMP Projects"/>
    <s v="Cost-share projects paid for by FDACS. Acres treated based on FDACS OAWP June 2020 Enrollment. Reductions estimated by DEP using 2020 BMAP LET."/>
    <s v="Agricultural BMPs"/>
    <x v="2"/>
    <s v="Not provided"/>
    <s v="N/A"/>
    <n v="26873.408849600462"/>
    <n v="1556.1792481877096"/>
    <s v="West Caloosahatchee"/>
    <n v="19341"/>
    <s v="TBD"/>
    <s v="TBD"/>
    <s v="TBD"/>
    <s v="TBD"/>
    <s v="N/A"/>
    <s v="N/A"/>
    <s v="N/A"/>
    <s v="N/A"/>
    <s v="N/A"/>
    <s v="Y"/>
    <s v="Non-structural"/>
    <s v="Completed"/>
    <n v="2019"/>
    <s v="N/A"/>
    <s v="N/A"/>
  </r>
  <r>
    <n v="4848"/>
    <s v="FDACS"/>
    <s v="Agricultural Producers"/>
    <s v="FDACS-06"/>
    <s v="Cost-Share BMP Projects"/>
    <s v="Cost-share projects paid for by FDACS. Acres treated based on FDACS OAWP June 2020 Enrollment. Reductions estimated by DEP using 2020 BMAP LET."/>
    <s v="Agricultural BMPs"/>
    <x v="2"/>
    <s v="Not provided"/>
    <s v="N/A"/>
    <n v="18469.933197654587"/>
    <n v="1069.4887192161029"/>
    <s v="East Caloosahatchee"/>
    <n v="26005"/>
    <s v="TBD"/>
    <s v="TBD"/>
    <s v="TBD"/>
    <s v="TBD"/>
    <s v="N/A"/>
    <s v="N/A"/>
    <s v="N/A"/>
    <s v="N/A"/>
    <s v="N/A"/>
    <s v="Y"/>
    <s v="Non-structural"/>
    <s v="Completed"/>
    <n v="2019"/>
    <s v="N/A"/>
    <s v="N/A"/>
  </r>
  <r>
    <n v="2386"/>
    <s v="FDOT District 1"/>
    <s v="N/A"/>
    <s v="FDOT-01"/>
    <s v="Existing Stormwater Dry Ponds"/>
    <s v="Dry detention pond; Facility ID = 12010-3505-01."/>
    <s v="Dry Detention Pond"/>
    <x v="1"/>
    <s v="1997"/>
    <s v="Prior to 2012"/>
    <n v="30.788114170129472"/>
    <s v="TBD"/>
    <s v="Tidal Caloosahatchee"/>
    <n v="2"/>
    <s v="Not provided"/>
    <s v="Not provided"/>
    <s v="Florida Legislature"/>
    <s v="Not provided"/>
    <s v="N/A"/>
    <s v="N/A"/>
    <n v="26.711926245000001"/>
    <n v="-81.901818973999994"/>
    <s v="N/A"/>
    <m/>
    <s v="Structural"/>
    <s v="Completed"/>
    <n v="2012"/>
    <n v="15.181724239999999"/>
    <s v="N/A"/>
  </r>
  <r>
    <n v="2384"/>
    <s v="FDOT District 1"/>
    <s v="N/A"/>
    <s v="FDOT-02"/>
    <s v="Existing Stormwater Dry Ponds"/>
    <s v="Dry detention pond; Facility ID = 12060-3530-01."/>
    <s v="Dry Detention Pond"/>
    <x v="1"/>
    <s v="1996"/>
    <s v="Prior to 2012"/>
    <n v="3.73189262668236"/>
    <s v="TBD"/>
    <s v="Tidal Caloosahatchee"/>
    <n v="2"/>
    <s v="Not provided"/>
    <s v="Not provided"/>
    <s v="Florida Legislature"/>
    <s v="Not provided"/>
    <s v="N/A"/>
    <s v="N/A"/>
    <n v="26.681941407"/>
    <n v="-81.903253814999999"/>
    <s v="N/A"/>
    <m/>
    <s v="Structural"/>
    <s v="Completed"/>
    <n v="2012"/>
    <n v="1.7100418399999999"/>
    <s v="N/A"/>
  </r>
  <r>
    <n v="2343"/>
    <s v="FDOT District 1"/>
    <s v="N/A"/>
    <s v="FDOT-03"/>
    <s v="Existing Stormwater Dry Ponds"/>
    <s v="Dry detention pond; Facility ID = 12060-3530-02."/>
    <s v="Dry Detention Pond"/>
    <x v="1"/>
    <s v="1996"/>
    <s v="Prior to 2012"/>
    <n v="3.73189262668236"/>
    <s v="TBD"/>
    <s v="Tidal Caloosahatchee"/>
    <n v="2"/>
    <s v="Not provided"/>
    <s v="Not provided"/>
    <s v="Florida Legislature"/>
    <s v="Not provided"/>
    <s v="N/A"/>
    <s v="N/A"/>
    <n v="26.681789792"/>
    <n v="-81.901230369000004"/>
    <s v="N/A"/>
    <m/>
    <s v="Structural"/>
    <s v="Ongoing"/>
    <n v="2012"/>
    <n v="1.8778708799999999"/>
    <s v="N/A"/>
  </r>
  <r>
    <n v="2364"/>
    <s v="FDOT District 1"/>
    <s v="N/A"/>
    <s v="FDOT-04"/>
    <s v="Discontinue Fertilization"/>
    <s v="No longer fertilizing rights-of-way in watershed."/>
    <s v="Fertilizer Cessation"/>
    <x v="1"/>
    <s v="2005"/>
    <s v="2005"/>
    <n v="1810.9008970976151"/>
    <n v="453.83971559779275"/>
    <s v="Tidal Caloosahatchee"/>
    <n v="465"/>
    <s v="Not provided"/>
    <s v="Not provided"/>
    <s v="Florida Legislature"/>
    <s v="Not provided"/>
    <s v="N/A"/>
    <s v="N/A"/>
    <s v="N/A"/>
    <s v="N/A"/>
    <s v="N/A"/>
    <m/>
    <s v="Non-structural"/>
    <s v="Ongoing"/>
    <n v="2012"/>
    <n v="880.42207199999996"/>
    <s v="N/A"/>
  </r>
  <r>
    <n v="2362"/>
    <s v="FDOT District 1"/>
    <s v="N/A"/>
    <s v="FDOT-05"/>
    <s v="Education Efforts"/>
    <s v="Pamphlets, PSAs, illicit discharge program."/>
    <s v="Education Efforts"/>
    <x v="2"/>
    <s v="2005"/>
    <s v="N/A"/>
    <n v="252.90699958457918"/>
    <n v="53.670550967361258"/>
    <s v="Tidal Caloosahatchee"/>
    <s v="N/A"/>
    <s v="Not provided"/>
    <s v="Not provided"/>
    <s v="Florida Legislature"/>
    <s v="Not provided"/>
    <s v="N/A"/>
    <s v="N/A"/>
    <s v="N/A"/>
    <s v="N/A"/>
    <s v="N/A"/>
    <m/>
    <s v="Non-structural"/>
    <s v="Completed"/>
    <n v="2012"/>
    <n v="105.233344"/>
    <s v="N/A"/>
  </r>
  <r>
    <n v="2360"/>
    <s v="FDOT District 1"/>
    <s v="N/A"/>
    <s v="FDOT-06"/>
    <s v="Street Sweeping"/>
    <s v="Street sweeping."/>
    <s v="Street Sweeping"/>
    <x v="2"/>
    <s v="2002"/>
    <s v="N/A"/>
    <n v="473.01739043198916"/>
    <n v="346.22823664161507"/>
    <s v="Tidal Caloosahatchee"/>
    <s v="N/A"/>
    <s v="Not provided"/>
    <s v="Not provided"/>
    <s v="Florida Legislature"/>
    <s v="Not provided"/>
    <s v="N/A"/>
    <s v="N/A"/>
    <s v="N/A"/>
    <s v="N/A"/>
    <s v="N/A"/>
    <m/>
    <s v="Non-structural"/>
    <s v="Completed"/>
    <n v="2012"/>
    <n v="598.74192840000001"/>
    <s v="N/A"/>
  </r>
  <r>
    <n v="2358"/>
    <s v="FDOT District 1"/>
    <s v="N/A"/>
    <s v="FDOT-07"/>
    <s v="Ditch Blocked Swales"/>
    <s v="Swales with ditch blocks. Facility ID = 12020-3538-02."/>
    <s v="Grass Swales with Swale Blocks or Raised Culverts"/>
    <x v="1"/>
    <s v="1990"/>
    <s v="Prior to 2012"/>
    <n v="273.36113490448287"/>
    <s v="TBD"/>
    <s v="Tidal Caloosahatchee"/>
    <n v="56"/>
    <s v="Not provided"/>
    <s v="Not provided"/>
    <s v="Florida Legislature"/>
    <s v="Not provided"/>
    <s v="N/A"/>
    <s v="N/A"/>
    <n v="26.689021"/>
    <n v="-81.790369999999996"/>
    <s v="N/A"/>
    <m/>
    <s v="Structural"/>
    <s v="Completed"/>
    <n v="2012"/>
    <n v="132.77545024"/>
    <s v="N/A"/>
  </r>
  <r>
    <n v="2280"/>
    <s v="FDOT District 1"/>
    <s v="N/A"/>
    <s v="FDOT-08"/>
    <s v="Ditch Blocked Swales"/>
    <s v="Swales with ditch blocks. Facility ID = 12020-3541-01."/>
    <s v="Grass Swales with Swale Blocks or Raised Culverts"/>
    <x v="1"/>
    <s v="1989"/>
    <s v="Prior to 2012"/>
    <n v="179.13084608075329"/>
    <s v="TBD"/>
    <s v="Tidal Caloosahatchee"/>
    <n v="55"/>
    <s v="Not provided"/>
    <s v="Not provided"/>
    <s v="Florida Legislature"/>
    <s v="Not provided"/>
    <s v="N/A"/>
    <s v="N/A"/>
    <n v="26.710180999999999"/>
    <n v="-81.719172"/>
    <s v="N/A"/>
    <m/>
    <s v="Structural"/>
    <s v="Completed"/>
    <n v="2012"/>
    <n v="87.284708559999999"/>
    <s v="N/A"/>
  </r>
  <r>
    <n v="2281"/>
    <s v="FDOT District 1"/>
    <s v="N/A"/>
    <s v="FDOT-09"/>
    <s v="Ditch Blocked Swales"/>
    <s v="Swales with ditch blocks."/>
    <s v="Grass Swales with Swale Blocks or Raised Culverts"/>
    <x v="1"/>
    <s v="N/A"/>
    <s v="Prior to 2012"/>
    <n v="318.14384642467121"/>
    <s v="TBD"/>
    <s v="Tidal Caloosahatchee"/>
    <n v="55"/>
    <s v="Not provided"/>
    <s v="Not provided"/>
    <s v="Florida Legislature"/>
    <s v="Not provided"/>
    <s v="N/A"/>
    <s v="N/A"/>
    <s v="N/A"/>
    <s v="N/A"/>
    <s v="N/A"/>
    <m/>
    <s v="Structural"/>
    <m/>
    <n v="2012"/>
    <n v="154.61136912000001"/>
    <s v="N/A"/>
  </r>
  <r>
    <n v="2303"/>
    <s v="FDOT District 1"/>
    <s v="N/A"/>
    <s v="FDOT-10"/>
    <s v="Swales without Ditch Blocks"/>
    <s v="Swales without blocks."/>
    <s v="Grass Swales without Swale Blocks or Raised Culverts"/>
    <x v="1"/>
    <s v="N/A"/>
    <s v="Prior to 2012"/>
    <n v="4617.2841523627503"/>
    <s v="TBD"/>
    <s v="Tidal Caloosahatchee"/>
    <n v="1353"/>
    <s v="Not provided"/>
    <s v="Not provided"/>
    <s v="Florida Legislature"/>
    <s v="Not provided"/>
    <s v="N/A"/>
    <s v="N/A"/>
    <s v="N/A"/>
    <s v="N/A"/>
    <s v="N/A"/>
    <m/>
    <s v="Structural"/>
    <m/>
    <n v="2012"/>
    <n v="2244.8268079999998"/>
    <s v="N/A"/>
  </r>
  <r>
    <n v="2317"/>
    <s v="FDOT District 1"/>
    <s v="N/A"/>
    <s v="FDOT-11"/>
    <s v="Existing Stormwater Wet Ponds"/>
    <s v="F12001-3516-01."/>
    <s v="Wet Detention Pond"/>
    <x v="1"/>
    <s v="1995"/>
    <s v="Prior to 2012"/>
    <n v="224.84653075761219"/>
    <s v="TBD"/>
    <s v="Tidal Caloosahatchee"/>
    <n v="14.090909090909092"/>
    <s v="Not provided"/>
    <s v="Not provided"/>
    <s v="Florida Legislature"/>
    <s v="Not provided"/>
    <s v="N/A"/>
    <s v="N/A"/>
    <n v="26.671697717000001"/>
    <n v="-81.880446504999995"/>
    <s v="N/A"/>
    <m/>
    <s v="Structural"/>
    <m/>
    <n v="2012"/>
    <n v="9.919044892561983"/>
    <s v="N/A"/>
  </r>
  <r>
    <n v="2305"/>
    <s v="FDOT District 1"/>
    <s v="N/A"/>
    <s v="FDOT-12"/>
    <s v="Existing Stormwater Wet Ponds"/>
    <s v="F12001-3516-02."/>
    <s v="Wet Detention Pond"/>
    <x v="1"/>
    <s v="1995"/>
    <s v="Prior to 2012"/>
    <n v="224.84653075761219"/>
    <s v="TBD"/>
    <s v="Tidal Caloosahatchee"/>
    <n v="14.090909090909092"/>
    <s v="Not provided"/>
    <s v="Not provided"/>
    <s v="Florida Legislature"/>
    <s v="Not provided"/>
    <s v="N/A"/>
    <s v="N/A"/>
    <n v="26.673893198999998"/>
    <n v="-81.881785058999995"/>
    <s v="N/A"/>
    <m/>
    <s v="Structural"/>
    <m/>
    <n v="2012"/>
    <n v="9.919044892561983"/>
    <s v="N/A"/>
  </r>
  <r>
    <n v="2294"/>
    <s v="FDOT District 1"/>
    <s v="N/A"/>
    <s v="FDOT-13"/>
    <s v="Existing Stormwater Wet Ponds"/>
    <s v="F12040-3514-01."/>
    <s v="Wet Detention Pond"/>
    <x v="1"/>
    <s v="2002"/>
    <s v="Prior to 2012"/>
    <n v="224.84653075761219"/>
    <s v="TBD"/>
    <s v="Tidal Caloosahatchee"/>
    <n v="14.090909090909092"/>
    <s v="Not provided"/>
    <s v="Not provided"/>
    <s v="Florida Legislature"/>
    <s v="Not provided"/>
    <s v="N/A"/>
    <s v="N/A"/>
    <n v="26.543035991"/>
    <n v="-81.915922687999995"/>
    <s v="N/A"/>
    <m/>
    <s v="Structural"/>
    <m/>
    <n v="2012"/>
    <n v="9.919044892561983"/>
    <s v="N/A"/>
  </r>
  <r>
    <n v="2307"/>
    <s v="FDOT District 1"/>
    <s v="N/A"/>
    <s v="FDOT-14"/>
    <s v="Existing Stormwater Wet Ponds"/>
    <s v="F12040-3515-01."/>
    <s v="Wet Detention Pond"/>
    <x v="1"/>
    <s v="2002"/>
    <s v="Prior to 2012"/>
    <n v="224.84653075761219"/>
    <s v="TBD"/>
    <s v="Tidal Caloosahatchee"/>
    <n v="14.090909090909092"/>
    <s v="Not provided"/>
    <s v="Not provided"/>
    <s v="Florida Legislature"/>
    <s v="Not provided"/>
    <s v="N/A"/>
    <s v="N/A"/>
    <n v="26.517719459999999"/>
    <n v="-81.939988489000001"/>
    <s v="N/A"/>
    <m/>
    <s v="Structural"/>
    <m/>
    <n v="2012"/>
    <n v="9.919044892561983"/>
    <s v="N/A"/>
  </r>
  <r>
    <n v="2308"/>
    <s v="FDOT District 1"/>
    <s v="N/A"/>
    <s v="FDOT-15"/>
    <s v="Existing Stormwater Wet Ponds"/>
    <s v="F12040-3515-02."/>
    <s v="Wet Detention Pond"/>
    <x v="1"/>
    <s v="2002"/>
    <s v="Prior to 2012"/>
    <n v="224.84653075761219"/>
    <s v="TBD"/>
    <s v="Tidal Caloosahatchee"/>
    <n v="14.090909090909092"/>
    <s v="Not provided"/>
    <s v="Not provided"/>
    <s v="Florida Legislature"/>
    <s v="Not provided"/>
    <s v="N/A"/>
    <s v="N/A"/>
    <n v="26.525744062000001"/>
    <n v="-81.935121139000003"/>
    <s v="N/A"/>
    <m/>
    <s v="Structural"/>
    <m/>
    <n v="2012"/>
    <n v="9.919044892561983"/>
    <s v="N/A"/>
  </r>
  <r>
    <n v="2309"/>
    <s v="FDOT District 1"/>
    <s v="N/A"/>
    <s v="FDOT-16"/>
    <s v="Existing Stormwater Wet Ponds"/>
    <s v="F12040-3515-03."/>
    <s v="Wet Detention Pond"/>
    <x v="1"/>
    <s v="2002"/>
    <s v="Prior to 2012"/>
    <n v="224.84653075761219"/>
    <s v="TBD"/>
    <s v="Tidal Caloosahatchee"/>
    <n v="14.090909090909092"/>
    <s v="Not provided"/>
    <s v="Not provided"/>
    <s v="Florida Legislature"/>
    <s v="Not provided"/>
    <s v="N/A"/>
    <s v="N/A"/>
    <n v="26.536900395"/>
    <n v="-81.920548275000002"/>
    <s v="N/A"/>
    <m/>
    <s v="Structural"/>
    <m/>
    <n v="2012"/>
    <n v="9.919044892561983"/>
    <s v="N/A"/>
  </r>
  <r>
    <n v="2310"/>
    <s v="FDOT District 1"/>
    <s v="N/A"/>
    <s v="FDOT-17"/>
    <s v="Existing Stormwater Wet Ponds"/>
    <s v="F12040-3515-04."/>
    <s v="Wet Detention Pond"/>
    <x v="1"/>
    <s v="2002"/>
    <s v="Prior to 2012"/>
    <n v="224.84653075761219"/>
    <s v="TBD"/>
    <s v="Tidal Caloosahatchee"/>
    <n v="14.090909090909092"/>
    <s v="Not provided"/>
    <s v="Not provided"/>
    <s v="Florida Legislature"/>
    <s v="Not provided"/>
    <s v="N/A"/>
    <s v="N/A"/>
    <n v="26.539337527000001"/>
    <n v="-81.917593338000003"/>
    <s v="N/A"/>
    <m/>
    <s v="Structural"/>
    <m/>
    <n v="2012"/>
    <n v="9.919044892561983"/>
    <s v="N/A"/>
  </r>
  <r>
    <n v="2311"/>
    <s v="FDOT District 1"/>
    <s v="N/A"/>
    <s v="FDOT-18"/>
    <s v="Existing Stormwater Wet Ponds"/>
    <s v="F12060-3530-03."/>
    <s v="Wet Detention Pond"/>
    <x v="1"/>
    <s v="1996"/>
    <s v="Prior to 2012"/>
    <n v="224.84653075761219"/>
    <s v="TBD"/>
    <s v="Tidal Caloosahatchee"/>
    <n v="14.090909090909092"/>
    <s v="Not provided"/>
    <s v="Not provided"/>
    <s v="Florida Legislature"/>
    <s v="Not provided"/>
    <s v="N/A"/>
    <s v="N/A"/>
    <n v="26.681556330999999"/>
    <n v="-81.896776259999996"/>
    <s v="N/A"/>
    <m/>
    <s v="Structural"/>
    <m/>
    <n v="2012"/>
    <n v="9.919044892561983"/>
    <s v="N/A"/>
  </r>
  <r>
    <n v="2312"/>
    <s v="FDOT District 1"/>
    <s v="N/A"/>
    <s v="FDOT-19"/>
    <s v="Existing Stormwater Wet Ponds"/>
    <s v="F12060-3533-01."/>
    <s v="Wet Detention Pond"/>
    <x v="1"/>
    <s v="2002"/>
    <s v="Prior to 2012"/>
    <n v="224.84653075761219"/>
    <s v="TBD"/>
    <s v="Tidal Caloosahatchee"/>
    <n v="14.090909090909092"/>
    <s v="Not provided"/>
    <s v="Not provided"/>
    <s v="Florida Legislature"/>
    <s v="Not provided"/>
    <s v="N/A"/>
    <s v="N/A"/>
    <n v="26.689441000999999"/>
    <n v="-81.860182258999998"/>
    <s v="N/A"/>
    <m/>
    <s v="Structural"/>
    <m/>
    <n v="2012"/>
    <n v="9.919044892561983"/>
    <s v="N/A"/>
  </r>
  <r>
    <n v="2313"/>
    <s v="FDOT District 1"/>
    <s v="N/A"/>
    <s v="FDOT-20"/>
    <s v="Existing Stormwater Wet Ponds"/>
    <s v="F12060-3533-02."/>
    <s v="Wet Detention Pond"/>
    <x v="1"/>
    <s v="2002"/>
    <s v="Prior to 2012"/>
    <n v="224.84653075761219"/>
    <s v="TBD"/>
    <s v="Tidal Caloosahatchee"/>
    <n v="14.090909090909092"/>
    <s v="Not provided"/>
    <s v="Not provided"/>
    <s v="Florida Legislature"/>
    <s v="Not provided"/>
    <s v="N/A"/>
    <s v="N/A"/>
    <n v="26.695392183999999"/>
    <n v="-81.854999487000001"/>
    <s v="N/A"/>
    <m/>
    <s v="Structural"/>
    <m/>
    <n v="2012"/>
    <n v="9.919044892561983"/>
    <s v="N/A"/>
  </r>
  <r>
    <n v="2314"/>
    <s v="FDOT District 1"/>
    <s v="N/A"/>
    <s v="FDOT-21"/>
    <s v="Existing Stormwater Wet Ponds"/>
    <s v="F12060-3533-03."/>
    <s v="Wet Detention Pond"/>
    <x v="1"/>
    <s v="2002"/>
    <s v="Prior to 2012"/>
    <n v="224.84653075761219"/>
    <s v="TBD"/>
    <s v="Tidal Caloosahatchee"/>
    <n v="14.090909090909092"/>
    <s v="Not provided"/>
    <s v="Not provided"/>
    <s v="Florida Legislature"/>
    <s v="Not provided"/>
    <s v="N/A"/>
    <s v="N/A"/>
    <n v="26.697306871999999"/>
    <n v="-81.849894698"/>
    <s v="N/A"/>
    <m/>
    <s v="Structural"/>
    <m/>
    <n v="2012"/>
    <n v="9.919044892561983"/>
    <s v="N/A"/>
  </r>
  <r>
    <n v="2315"/>
    <s v="FDOT District 1"/>
    <s v="N/A"/>
    <s v="FDOT-22"/>
    <s v="State Road (SR) 78 Project"/>
    <s v="Wet detention pond. FM195705-1, Pond SMF 1A."/>
    <s v="Wet Detention Pond"/>
    <x v="1"/>
    <s v="2009"/>
    <s v="Prior to 2012"/>
    <n v="35.651003505985756"/>
    <n v="10.49469663351112"/>
    <s v="Tidal Caloosahatchee"/>
    <n v="20"/>
    <s v="Not provided"/>
    <s v="Not provided"/>
    <s v="Florida Legislature"/>
    <s v="Not provided"/>
    <s v="N/A"/>
    <s v="N/A"/>
    <n v="26.701329999999999"/>
    <n v="-81.846770000000006"/>
    <s v="N/A"/>
    <m/>
    <s v="Structural"/>
    <m/>
    <n v="2012"/>
    <n v="17.327214400000003"/>
    <s v="N/A"/>
  </r>
  <r>
    <n v="2316"/>
    <s v="FDOT District 1"/>
    <s v="N/A"/>
    <s v="FDOT-23"/>
    <s v="State Road (SR) 78 Project"/>
    <s v="Wet detention pond. FM195705-1, Pond SMF 1D."/>
    <s v="Wet Detention Pond"/>
    <x v="1"/>
    <s v="2009"/>
    <s v="Prior to 2012"/>
    <n v="43.810534831474435"/>
    <n v="12.055807936960472"/>
    <s v="Tidal Caloosahatchee"/>
    <n v="20"/>
    <s v="Not provided"/>
    <s v="Not provided"/>
    <s v="Florida Legislature"/>
    <s v="Not provided"/>
    <s v="N/A"/>
    <s v="N/A"/>
    <n v="26.703869439999998"/>
    <n v="-81.847222220000006"/>
    <s v="N/A"/>
    <m/>
    <s v="Structural"/>
    <m/>
    <n v="2012"/>
    <n v="21.318823999999999"/>
    <s v="N/A"/>
  </r>
  <r>
    <n v="2295"/>
    <s v="FDOT District 1"/>
    <s v="N/A"/>
    <s v="FDOT-24"/>
    <s v="State Road (SR) 78 Project"/>
    <s v="Wet detention pond. FM195705-1, Pond SMF 2B."/>
    <s v="Wet Detention Pond"/>
    <x v="1"/>
    <s v="2009"/>
    <s v="Prior to 2012"/>
    <n v="66.746317747412149"/>
    <n v="18.070019982309514"/>
    <s v="Tidal Caloosahatchee"/>
    <n v="20"/>
    <s v="Not provided"/>
    <s v="Not provided"/>
    <s v="Florida Legislature"/>
    <s v="Not provided"/>
    <s v="N/A"/>
    <s v="N/A"/>
    <n v="26.70881"/>
    <n v="-81.837280000000007"/>
    <s v="N/A"/>
    <m/>
    <s v="Structural"/>
    <m/>
    <n v="2012"/>
    <n v="32.422756159999999"/>
    <s v="N/A"/>
  </r>
  <r>
    <n v="2359"/>
    <s v="FDOT District 1"/>
    <s v="N/A"/>
    <s v="FDOT-25"/>
    <s v="State Road (SR) 78 Project"/>
    <s v="Wet detention pond. FM195705-1, Pond SMF 4C."/>
    <s v="Wet Detention Pond"/>
    <x v="1"/>
    <s v="2009"/>
    <s v="Prior to 2012"/>
    <n v="100.52890256119154"/>
    <n v="27.222838529015942"/>
    <s v="Tidal Caloosahatchee"/>
    <n v="20"/>
    <s v="Not provided"/>
    <s v="Not provided"/>
    <s v="Florida Legislature"/>
    <s v="Not provided"/>
    <s v="N/A"/>
    <s v="N/A"/>
    <n v="26.71228"/>
    <n v="-81.826790000000003"/>
    <s v="N/A"/>
    <m/>
    <s v="Structural"/>
    <m/>
    <n v="2012"/>
    <n v="48.829178800000001"/>
    <s v="N/A"/>
  </r>
  <r>
    <n v="4367"/>
    <s v="FDOT District 1"/>
    <s v="N/A"/>
    <s v="FDOT-26"/>
    <s v="SR 82 from Lee Blvd to Shawnee Road"/>
    <s v="Funding Partnership with LAMSID (formerly known as [fka] ECWCD) for SW Weirs Project."/>
    <s v="Control Structure"/>
    <x v="1"/>
    <s v="Not provided"/>
    <s v="2017"/>
    <s v="N/A"/>
    <s v="N/A"/>
    <s v="Tidal Caloosahatchee"/>
    <s v="Not provided"/>
    <s v="Not provided"/>
    <s v="Not provided"/>
    <s v="FDOT/ DEP/ LA-MSID"/>
    <s v="Not provided"/>
    <s v="N/A"/>
    <s v="N/A"/>
    <n v="26.58864573"/>
    <n v="-81.729498280000001"/>
    <s v="N/A"/>
    <m/>
    <s v="Structural"/>
    <s v="Completed"/>
    <n v="2018"/>
    <s v="Not provided"/>
    <s v="Not provided"/>
  </r>
  <r>
    <n v="4368"/>
    <s v="FDOT District 1"/>
    <s v="N/A"/>
    <s v="FDOT-27"/>
    <s v="SR 82 from Lee Blvd to Shawnee Road"/>
    <s v="Funding Partnership with LAMSID (fka ECWCD) for West Marsh Preserve."/>
    <s v="Stormwater Treatment Areas (STAs)"/>
    <x v="3"/>
    <s v="2017"/>
    <s v="2020"/>
    <s v="N/A"/>
    <s v="N/A"/>
    <s v="Tidal Caloosahatchee"/>
    <s v="Not provided"/>
    <s v="Not provided"/>
    <s v="Not provided"/>
    <s v="FDOT/ DEP/ LA-MSID"/>
    <s v="Not provided"/>
    <s v="N/A"/>
    <s v="N/A"/>
    <n v="26.586514600000001"/>
    <n v="-81.724697129999996"/>
    <s v="N/A"/>
    <m/>
    <s v="Structural"/>
    <s v="Underway"/>
    <n v="2018"/>
    <s v="Not provided"/>
    <s v="Not provided"/>
  </r>
  <r>
    <n v="4849"/>
    <s v="FDOT District 1"/>
    <s v="N/A"/>
    <s v="FDOT-28"/>
    <s v="SR 82 from Shawnee Rd to Alabama Road"/>
    <s v="Funding Partnership with LAMSID (fka ECWCD) for Moving Water South PH II, Hendry Canal Widening."/>
    <s v="Regional Stormwater Treatment"/>
    <x v="3"/>
    <s v="2018"/>
    <s v="2020"/>
    <s v="N/A"/>
    <s v="N/A"/>
    <s v="Tidal Caloosahatchee"/>
    <s v="Not provided"/>
    <s v="Not provided"/>
    <s v="Not provided"/>
    <s v="FDOT/ LA-MSID"/>
    <s v="Not provided"/>
    <s v="N/A"/>
    <s v="N/A"/>
    <n v="26.564174919999999"/>
    <n v="-81.67332949"/>
    <s v="N/A"/>
    <m/>
    <s v="Structural"/>
    <s v="Underway"/>
    <n v="2019"/>
    <s v="N/A"/>
    <s v="N/A"/>
  </r>
  <r>
    <n v="4850"/>
    <s v="FDOT District 1"/>
    <s v="N/A"/>
    <s v="FDOT-29"/>
    <s v="SR 80 from Dalton Lane to CR 833 (408286-5 &amp;-6)"/>
    <s v="Widening project provided extra nutrient removal in treatment ponds."/>
    <s v="Wet Detention Pond"/>
    <x v="1"/>
    <s v="2017"/>
    <s v="2020"/>
    <s v="TBD"/>
    <s v="TBD"/>
    <s v="West Caloosahatchee"/>
    <s v="Not provided"/>
    <s v="Not provided"/>
    <s v="Not provided"/>
    <s v="FDOT"/>
    <s v="Not provided"/>
    <s v="N/A"/>
    <s v="Not provided"/>
    <n v="26.768470499999999"/>
    <n v="-81.306359999999998"/>
    <s v="N/A"/>
    <m/>
    <s v="Structural"/>
    <s v="Underway"/>
    <n v="2019"/>
    <s v="N/A"/>
    <s v="N/A"/>
  </r>
  <r>
    <n v="4851"/>
    <s v="FDOT District 1"/>
    <s v="N/A"/>
    <s v="FDOT-30"/>
    <s v="SR 82 from Gator Slough Lane to SR 29 (430849-1)"/>
    <s v="Widening project provided extra nutrient removal in treatment ponds."/>
    <s v="Wet Detention Pond"/>
    <x v="3"/>
    <s v="2019"/>
    <s v="2022"/>
    <s v="TBD"/>
    <s v="TBD"/>
    <s v="West Caloosahatchee"/>
    <s v="Not provided"/>
    <s v="Not provided"/>
    <s v="Not provided"/>
    <s v="FDOT"/>
    <s v="Not provided"/>
    <s v="N/A"/>
    <s v="N/A"/>
    <n v="26.494457839999999"/>
    <n v="-81.469266090000005"/>
    <s v="N/A"/>
    <m/>
    <s v="Structural"/>
    <s v="Underway"/>
    <n v="2019"/>
    <s v="N/A"/>
    <s v="N/A"/>
  </r>
  <r>
    <n v="5202"/>
    <s v="FDOT District 1"/>
    <s v="Lee County"/>
    <s v="FDOT-31"/>
    <s v="Six Mile Cypress Preserve North Hydrologic Restoration project"/>
    <s v="Hydrologic restoration project."/>
    <s v="Hydrologic Restoration"/>
    <x v="1"/>
    <s v="Not provided"/>
    <s v="2005"/>
    <n v="718.12984314480002"/>
    <n v="134.12577845138"/>
    <s v="Tidal Caloosahatchee"/>
    <n v="114.3"/>
    <n v="1799539"/>
    <n v="70260"/>
    <s v="County/ SFWMD/ FDOT"/>
    <s v="$567,500"/>
    <s v="N/A"/>
    <s v="Not provided"/>
    <n v="26.6350564"/>
    <n v="-81.770097980000003"/>
    <s v="N/A"/>
    <m/>
    <s v="Structural"/>
    <m/>
    <n v="2019"/>
    <s v="N/A"/>
    <s v="N/A"/>
  </r>
  <r>
    <n v="5203"/>
    <s v="Flaghole Drainage District"/>
    <s v="DEP/ FDACS"/>
    <s v="FH-01"/>
    <s v="Public Education and Outreach"/>
    <s v="Updates on BMAP and requirements during annual landowner meetings."/>
    <s v="Education Efforts"/>
    <x v="0"/>
    <s v="2020"/>
    <s v="N/A"/>
    <s v="N/A"/>
    <s v="N/A"/>
    <s v="East Caloosahatchee"/>
    <s v="N/A"/>
    <n v="500"/>
    <s v="N/A"/>
    <s v="Flaghole Drainage District"/>
    <s v="$500"/>
    <s v="N/A"/>
    <s v="N/A"/>
    <n v="26.709992"/>
    <n v="-81.049955999999995"/>
    <s v="N/A"/>
    <m/>
    <s v="Non-structural"/>
    <m/>
    <n v="2019"/>
    <s v="N/A"/>
    <s v="N/A"/>
  </r>
  <r>
    <n v="5204"/>
    <s v="Flaghole Drainage District"/>
    <s v="FDACS"/>
    <s v="FH-02"/>
    <s v="FDACS BMP Assistance"/>
    <s v="Provide assistance to FDACS, as needed, to encourage landowners to enroll in BMPs."/>
    <s v="Agricultural BMPs"/>
    <x v="0"/>
    <s v="2020"/>
    <s v="N/A"/>
    <s v="N/A"/>
    <s v="N/A"/>
    <s v="East Caloosahatchee"/>
    <s v="N/A"/>
    <n v="1000"/>
    <s v="N/A"/>
    <s v="Flaghole Drainage District"/>
    <s v="$1,000"/>
    <s v="N/A"/>
    <s v="N/A"/>
    <n v="26.709992"/>
    <n v="-81.049955999999995"/>
    <s v="N/A"/>
    <m/>
    <s v="Non-structural"/>
    <m/>
    <n v="2019"/>
    <s v="N/A"/>
    <s v="N/A"/>
  </r>
  <r>
    <n v="5205"/>
    <s v="Flaghole Drainage District"/>
    <s v="N/A"/>
    <s v="FH-03"/>
    <s v="Nutrient Controls"/>
    <s v="No application of fertilizer in district's rights-of-way."/>
    <s v="Fertilizer Cessation"/>
    <x v="1"/>
    <s v="2020"/>
    <s v="2020"/>
    <s v="N/A"/>
    <s v="N/A"/>
    <s v="East Caloosahatchee"/>
    <s v="N/A"/>
    <n v="0"/>
    <s v="N/A"/>
    <s v="Flaghole Drainage District"/>
    <s v="N/A"/>
    <s v="N/A"/>
    <s v="N/A"/>
    <n v="26.724083"/>
    <n v="-81.078433000000004"/>
    <s v="N/A"/>
    <m/>
    <s v="Non-structural"/>
    <m/>
    <n v="2019"/>
    <s v="N/A"/>
    <s v="N/A"/>
  </r>
  <r>
    <n v="5206"/>
    <s v="Flaghole Drainage District"/>
    <s v="N/A"/>
    <s v="FH-04"/>
    <s v="Slow Velocity in the Main Canal"/>
    <s v="Minimize sediment transport by slowing the velocity in main canal near main discharge structure."/>
    <s v="Control Structure"/>
    <x v="0"/>
    <s v="2021"/>
    <s v="TBD"/>
    <s v="N/A"/>
    <s v="N/A"/>
    <s v="East Caloosahatchee"/>
    <s v="N/A"/>
    <n v="15000"/>
    <s v="N/A"/>
    <s v="Flaghole Drainage District"/>
    <s v="$15,000"/>
    <s v="N/A"/>
    <s v="N/A"/>
    <n v="26.724083"/>
    <n v="-81.078433000000004"/>
    <s v="N/A"/>
    <m/>
    <s v="Structural"/>
    <m/>
    <n v="2019"/>
    <s v="N/A"/>
    <s v="N/A"/>
  </r>
  <r>
    <n v="5207"/>
    <s v="Flaghole Drainage District"/>
    <s v="N/A"/>
    <s v="FH-05"/>
    <s v="Control Structures"/>
    <s v="Annual maintenance of water control structures."/>
    <s v="Control Structure"/>
    <x v="2"/>
    <s v="2021"/>
    <s v="N/A"/>
    <s v="N/A"/>
    <s v="N/A"/>
    <s v="East Caloosahatchee"/>
    <s v="N/A"/>
    <n v="20000"/>
    <s v="N/A"/>
    <s v="Flaghole Drainage District"/>
    <s v="$20,000"/>
    <s v="N/A"/>
    <s v="N/A"/>
    <n v="26.769349999999999"/>
    <n v="-81.114063999999999"/>
    <s v="N/A"/>
    <m/>
    <s v="Structural"/>
    <m/>
    <n v="2019"/>
    <s v="N/A"/>
    <s v="N/A"/>
  </r>
  <r>
    <n v="2367"/>
    <s v="City of Fort Myers"/>
    <s v="Not provided"/>
    <s v="FM-01"/>
    <s v="Country Club Neighborhood Exfiltration Trenches"/>
    <s v="Exfiltration trenches."/>
    <s v="Exfiltration Trench"/>
    <x v="1"/>
    <s v="Not provided"/>
    <s v="Prior to 2012"/>
    <n v="213.73085669413214"/>
    <n v="26.776340056296988"/>
    <s v="Tidal Caloosahatchee"/>
    <n v="124.6"/>
    <s v="Not provided"/>
    <s v="Not provided"/>
    <s v="Not provided"/>
    <s v="Not provided"/>
    <s v="N/A"/>
    <s v="Not provided"/>
    <n v="26.61183763"/>
    <n v="-81.879033699999994"/>
    <s v="N/A"/>
    <m/>
    <s v="Structural"/>
    <s v="Completed"/>
    <n v="2012"/>
    <n v="379.20291199999997"/>
    <s v="N/A"/>
  </r>
  <r>
    <n v="2368"/>
    <s v="City of Fort Myers"/>
    <s v="Not provided"/>
    <s v="FM-02"/>
    <s v="Education Efforts"/>
    <s v="FYN, fertilizer ordinance, pamphlets, PSAs, website, illicit discharge program."/>
    <s v="Education Efforts"/>
    <x v="2"/>
    <s v="Not provided"/>
    <s v="N/A"/>
    <n v="4652.174979774828"/>
    <n v="1630.402357841793"/>
    <s v="Tidal Caloosahatchee"/>
    <s v="N/A"/>
    <s v="Not provided"/>
    <s v="Not provided"/>
    <s v="Not provided"/>
    <s v="Not provided"/>
    <s v="N/A"/>
    <s v="Not provided"/>
    <s v="Not provided"/>
    <s v="Not provided"/>
    <s v="N/A"/>
    <m/>
    <s v="Non-structural"/>
    <s v="Ongoing"/>
    <n v="2012"/>
    <n v="952.99679200000003"/>
    <s v="N/A"/>
  </r>
  <r>
    <n v="2369"/>
    <s v="City of Fort Myers"/>
    <s v="Not provided"/>
    <s v="FM-03"/>
    <s v="Winkler Avenue Utility and Streetscape Improvements"/>
    <s v="Installation of StormceptorsTM."/>
    <s v="Hydrodynamic Separators"/>
    <x v="1"/>
    <s v="Not provided"/>
    <s v="Prior to 2012"/>
    <s v="TBD"/>
    <s v="TBD"/>
    <s v="Tidal Caloosahatchee"/>
    <n v="117.9"/>
    <s v="Not provided"/>
    <s v="Not provided"/>
    <s v="Not provided"/>
    <s v="Not provided"/>
    <s v="N/A"/>
    <s v="Not provided"/>
    <n v="26.545303010000001"/>
    <n v="-81.898234450000004"/>
    <s v="N/A"/>
    <m/>
    <s v="Structural"/>
    <s v="Completed"/>
    <n v="2012"/>
    <n v="18.14368"/>
    <s v="N/A"/>
  </r>
  <r>
    <n v="2370"/>
    <s v="City of Fort Myers"/>
    <s v="Not provided"/>
    <s v="FM-04"/>
    <s v="Manuel's Branch Siltation Structures"/>
    <s v="Installation of siltation structure designed to receive incoming flow, reduce its velocity and allow for settling of suspended particles. Called sediment trap (near control structure)."/>
    <s v="Control Structure"/>
    <x v="1"/>
    <s v="Not provided"/>
    <s v="Prior to 2012"/>
    <n v="485.94195997010848"/>
    <n v="77.728824044765787"/>
    <s v="Tidal Caloosahatchee"/>
    <n v="642.70000000000005"/>
    <s v="Not provided"/>
    <s v="Not provided"/>
    <s v="Not provided"/>
    <s v="Not provided"/>
    <s v="N/A"/>
    <s v="Not provided"/>
    <n v="26.627068189999999"/>
    <n v="-81.879868650000006"/>
    <s v="N/A"/>
    <m/>
    <s v="Structural"/>
    <s v="Completed"/>
    <n v="2012"/>
    <n v="488.97217599999999"/>
    <s v="N/A"/>
  </r>
  <r>
    <n v="2371"/>
    <s v="City of Fort Myers"/>
    <s v="Not provided"/>
    <s v="FM-05"/>
    <s v="Manuel's Branch Control Structures"/>
    <s v="Series of two weirs constructed along Manuel's Branch between Royal Palm Avenue and Grand Avenue that act as detention structures for purpose of increasing storage and attenuation in canal."/>
    <s v="Control Structure"/>
    <x v="1"/>
    <s v="Not provided"/>
    <s v="Prior to 2012"/>
    <n v="981.2364943613585"/>
    <n v="310.58469773282712"/>
    <s v="Tidal Caloosahatchee"/>
    <n v="437.9"/>
    <s v="Not provided"/>
    <s v="Not provided"/>
    <s v="Not provided"/>
    <s v="Not provided"/>
    <s v="N/A"/>
    <s v="Not provided"/>
    <n v="26.626174089999999"/>
    <n v="-81.870245389999994"/>
    <s v="N/A"/>
    <m/>
    <s v="Structural"/>
    <s v="Completed"/>
    <n v="2012"/>
    <n v="998.80958399999997"/>
    <s v="N/A"/>
  </r>
  <r>
    <n v="2372"/>
    <s v="City of Fort Myers"/>
    <s v="Not provided"/>
    <s v="FM-06"/>
    <s v="Billy's Creek Wetland"/>
    <s v="Filter marsh park."/>
    <s v="Constructed Wetland Treatment"/>
    <x v="1"/>
    <s v="Not provided"/>
    <s v="Prior to 2012"/>
    <n v="1421"/>
    <n v="1211"/>
    <s v="Tidal Caloosahatchee"/>
    <n v="1631.6"/>
    <s v="Not provided"/>
    <s v="Not provided"/>
    <s v="Not provided"/>
    <s v="Not provided"/>
    <s v="N/A"/>
    <s v="Not provided"/>
    <n v="26.66128544"/>
    <n v="-81.824795080000001"/>
    <s v="N/A"/>
    <m/>
    <s v="Structural"/>
    <s v="Completed"/>
    <n v="2012"/>
    <n v="1825.7077999999999"/>
    <s v="N/A"/>
  </r>
  <r>
    <n v="2373"/>
    <s v="City of Fort Myers"/>
    <s v="Not provided"/>
    <s v="FM-07"/>
    <s v="Brookhill Drive Utility Drainage Improvement"/>
    <s v="Installation of 2 Nutrient Baffle Boxes in parallel along Brookhill Dr."/>
    <s v="Baffle Boxes- Second Generation with Media"/>
    <x v="1"/>
    <s v="Not provided"/>
    <s v="2013"/>
    <n v="36.408610440713289"/>
    <n v="3.6839592547341176"/>
    <s v="Tidal Caloosahatchee"/>
    <n v="28"/>
    <s v="Not provided"/>
    <s v="Not provided"/>
    <s v="Not provided"/>
    <s v="Not provided"/>
    <s v="N/A"/>
    <s v="Not provided"/>
    <n v="26.650760900000002"/>
    <n v="-81.842907210000007"/>
    <s v="N/A"/>
    <m/>
    <s v="Structural"/>
    <s v="Completed"/>
    <n v="2012"/>
    <n v="4.9895119999999995"/>
    <s v="N/A"/>
  </r>
  <r>
    <n v="2374"/>
    <s v="City of Fort Myers"/>
    <s v="Not provided"/>
    <s v="FM-08"/>
    <s v="Street Sweeping"/>
    <s v="All city roads with curb and gutter divided into four zones and swept at varying frequencies based on pollutant accumulation."/>
    <s v="Street Sweeping"/>
    <x v="2"/>
    <s v="Not provided"/>
    <s v="N/A"/>
    <n v="1851.3153696785869"/>
    <n v="1173.8445490668453"/>
    <s v="Tidal Caloosahatchee"/>
    <s v="N/A"/>
    <s v="Not provided"/>
    <s v="Not provided"/>
    <s v="Not provided"/>
    <s v="Not provided"/>
    <s v="N/A"/>
    <s v="Not provided"/>
    <s v="N/A"/>
    <s v="N/A"/>
    <s v="N/A"/>
    <m/>
    <s v="Non-structural"/>
    <s v="Ongoing"/>
    <n v="2012"/>
    <n v="1171.174544"/>
    <s v="N/A"/>
  </r>
  <r>
    <n v="2375"/>
    <s v="City of Fort Myers"/>
    <s v="Not provided"/>
    <s v="FM-09"/>
    <s v="Ford Street Preserve"/>
    <s v="Constructed wetland treatment system that removes pollutants from Ford Street Canal, which serves 811 acres of highly urbanized watershed."/>
    <s v="Constructed Wetland Treatment"/>
    <x v="1"/>
    <s v="Not provided"/>
    <s v="2015"/>
    <n v="7916.409812016459"/>
    <n v="1411.9776663543594"/>
    <s v="Tidal Caloosahatchee"/>
    <n v="811"/>
    <s v="Not provided"/>
    <s v="Not provided"/>
    <s v="Not provided"/>
    <s v="Not provided"/>
    <s v="N/A"/>
    <s v="Not provided"/>
    <n v="26.652341320000001"/>
    <n v="-81.846580000000003"/>
    <s v="N/A"/>
    <m/>
    <s v="Structural"/>
    <s v="Completed"/>
    <n v="2012"/>
    <n v="3308.046456"/>
    <s v="N/A"/>
  </r>
  <r>
    <n v="2376"/>
    <s v="City of Fort Myers"/>
    <s v="Not provided"/>
    <s v="FM-10"/>
    <s v="Riverfront Development Phase 1"/>
    <s v="Retention pond."/>
    <s v="On-line Retention BMPs"/>
    <x v="1"/>
    <s v="Not provided"/>
    <s v="2013"/>
    <n v="37.402900438605002"/>
    <n v="9.9875885900680039"/>
    <s v="Tidal Caloosahatchee"/>
    <n v="15"/>
    <s v="Not provided"/>
    <s v="Not provided"/>
    <s v="Not provided"/>
    <s v="Not provided"/>
    <s v="N/A"/>
    <s v="Not provided"/>
    <n v="26.645897040000001"/>
    <n v="-81.87110337"/>
    <s v="N/A"/>
    <m/>
    <s v="Structural"/>
    <s v="Completed"/>
    <n v="2012"/>
    <n v="40.823279999999997"/>
    <s v="N/A"/>
  </r>
  <r>
    <n v="2388"/>
    <s v="City of Fort Myers"/>
    <s v="Not provided"/>
    <s v="FM-11"/>
    <s v="Carrell Canal Water Quality Retrofit"/>
    <s v="Two detention areas, five filter marshes, and golf course renovation."/>
    <s v="BMP Treatment Train"/>
    <x v="1"/>
    <s v="Not provided"/>
    <s v="2014"/>
    <n v="639.77533117310008"/>
    <n v="218.32377324732877"/>
    <s v="Tidal Caloosahatchee"/>
    <n v="848"/>
    <s v="Not provided"/>
    <s v="Not provided"/>
    <s v="Not provided"/>
    <s v="Not provided"/>
    <s v="N/A"/>
    <s v="Not provided"/>
    <n v="26.610993400000002"/>
    <n v="-81.876577359999999"/>
    <s v="N/A"/>
    <m/>
    <s v="Structural"/>
    <s v="Completed"/>
    <n v="2014"/>
    <n v="578.32979999999998"/>
    <s v="N/A"/>
  </r>
  <r>
    <n v="2378"/>
    <s v="City of Fort Myers"/>
    <s v="Not provided"/>
    <s v="FM-12"/>
    <s v="Aquashores Neighborhood"/>
    <s v="Installation of two StormceptorsTM."/>
    <s v="Hydrodynamic Separators"/>
    <x v="1"/>
    <s v="Not provided"/>
    <s v="2016"/>
    <n v="0"/>
    <n v="0.72162417355154007"/>
    <s v="Tidal Caloosahatchee"/>
    <n v="9"/>
    <s v="Not provided"/>
    <s v="Not provided"/>
    <s v="Not provided"/>
    <s v="Not provided"/>
    <s v="N/A"/>
    <s v="Not provided"/>
    <n v="26.649867239999999"/>
    <n v="-81.844605889999997"/>
    <s v="N/A"/>
    <m/>
    <s v="Structural"/>
    <m/>
    <n v="2017"/>
    <s v="TBD"/>
    <s v="N/A"/>
  </r>
  <r>
    <n v="2366"/>
    <s v="City of Fort Myers"/>
    <s v="Not provided"/>
    <s v="FM-13"/>
    <s v="Billy &amp; High Street Drainage Improvement"/>
    <s v="Neighborhood improvement project."/>
    <s v="BMP Treatment Train"/>
    <x v="3"/>
    <s v="Not provided"/>
    <s v="TBD"/>
    <s v="TBD"/>
    <s v="TBD"/>
    <s v="Tidal Caloosahatchee"/>
    <n v="9"/>
    <s v="Not provided"/>
    <s v="Not provided"/>
    <s v="Not provided"/>
    <s v="Not provided"/>
    <s v="N/A"/>
    <s v="Not provided"/>
    <n v="26.646745150000001"/>
    <n v="-81.852354550000001"/>
    <s v="N/A"/>
    <m/>
    <s v="Structural"/>
    <m/>
    <n v="2017"/>
    <s v="TBD"/>
    <s v="N/A"/>
  </r>
  <r>
    <n v="2379"/>
    <s v="City of Fort Myers"/>
    <s v="Not provided"/>
    <s v="FM-14"/>
    <s v="Ridgewood Park Neighborhood Improvements"/>
    <s v="Neighborhood improvement projects to be done in phases."/>
    <s v="BMP Treatment Train"/>
    <x v="0"/>
    <s v="Not provided"/>
    <s v="TBD"/>
    <s v="TBD"/>
    <s v="TBD"/>
    <s v="Tidal Caloosahatchee"/>
    <n v="242"/>
    <s v="Not provided"/>
    <s v="Not provided"/>
    <s v="Not provided"/>
    <s v="Not provided"/>
    <s v="N/A"/>
    <s v="Not provided"/>
    <n v="26.661574640000001"/>
    <n v="-81.832974219999997"/>
    <s v="N/A"/>
    <m/>
    <s v="Structural"/>
    <m/>
    <n v="2017"/>
    <s v="TBD"/>
    <s v="N/A"/>
  </r>
  <r>
    <n v="2380"/>
    <s v="City of Fort Myers"/>
    <s v="Not provided"/>
    <s v="FM-15"/>
    <s v="Midtown Redevelopment"/>
    <s v="Area improvements including water quality improvements."/>
    <s v="BMP Treatment Train"/>
    <x v="0"/>
    <s v="Not provided"/>
    <s v="TBD"/>
    <s v="TBD"/>
    <s v="TBD"/>
    <s v="Tidal Caloosahatchee"/>
    <n v="183"/>
    <s v="Not provided"/>
    <s v="Not provided"/>
    <s v="Not provided"/>
    <s v="Not provided"/>
    <s v="N/A"/>
    <s v="Not provided"/>
    <n v="26.634447460000001"/>
    <n v="-81.843164709999996"/>
    <s v="N/A"/>
    <m/>
    <s v="Structural"/>
    <m/>
    <n v="2017"/>
    <s v="TBD"/>
    <s v="N/A"/>
  </r>
  <r>
    <n v="2381"/>
    <s v="City of Fort Myers"/>
    <s v="Not provided"/>
    <s v="FM-16"/>
    <s v="Edgewood Neighborhood Improvements"/>
    <s v="Neighborhood improvement projects to be done in phases."/>
    <s v="BMP Treatment Train"/>
    <x v="0"/>
    <s v="Not provided"/>
    <s v="TBD"/>
    <s v="TBD"/>
    <s v="TBD"/>
    <s v="Tidal Caloosahatchee"/>
    <n v="336"/>
    <s v="Not provided"/>
    <s v="Not provided"/>
    <s v="Not provided"/>
    <s v="Not provided"/>
    <s v="N/A"/>
    <s v="Not provided"/>
    <n v="26.66456608"/>
    <n v="-81.837716369999995"/>
    <s v="N/A"/>
    <m/>
    <s v="Structural"/>
    <m/>
    <n v="2017"/>
    <s v="TBD"/>
    <s v="N/A"/>
  </r>
  <r>
    <n v="4852"/>
    <s v="Glades County"/>
    <s v="N/A"/>
    <s v="GC-01"/>
    <s v="Education and Outreach"/>
    <s v="FYN; landscaping, irrigation, and fertilizer ordinances; PSAs, pamphlets, website, and illicit discharge program."/>
    <s v="Education Efforts"/>
    <x v="1"/>
    <s v="2014"/>
    <s v="2015"/>
    <n v="1564.0296893829764"/>
    <n v="299.09398854493202"/>
    <s v="West Caloosahatchee; East Caloosahatchee"/>
    <s v="N/A"/>
    <s v="Not provided"/>
    <n v="5500"/>
    <s v="Glades County"/>
    <s v="N/A"/>
    <s v="N/A"/>
    <s v="N/A"/>
    <n v="26.864781000000001"/>
    <n v="-81.287188"/>
    <s v="N/A"/>
    <m/>
    <s v="Non-structural"/>
    <s v="Completed"/>
    <n v="2019"/>
    <s v="N/A"/>
    <s v="N/A"/>
  </r>
  <r>
    <n v="4853"/>
    <s v="Glades County"/>
    <s v="N/A"/>
    <s v="GC-02"/>
    <s v="Glades County Caloosahatchee River &amp; Estuary Area Wastewater Grant"/>
    <s v="Elimination of aging and/or failing existing septic systems in the City of Moore Haven. The Project also provides for additional conveyance capacity for additional homes and businesses."/>
    <s v="OSTDS Phase Out"/>
    <x v="3"/>
    <s v="2018"/>
    <s v="2021"/>
    <n v="1252.7"/>
    <s v="N/A"/>
    <s v="East Caloosahatchee"/>
    <s v="TBD"/>
    <n v="891848"/>
    <n v="12240"/>
    <s v="DEP"/>
    <s v="$891,848"/>
    <s v="LP22023"/>
    <s v="N/A"/>
    <n v="26.828299999999999"/>
    <n v="-81.096900000000005"/>
    <s v="DEP grant"/>
    <m/>
    <s v="Structural"/>
    <s v="Planned"/>
    <n v="2019"/>
    <s v="N/A"/>
    <s v="N/A"/>
  </r>
  <r>
    <n v="4854"/>
    <s v="Glades County"/>
    <s v="N/A"/>
    <s v="GC-03"/>
    <s v="Glades County Business Park Wetlands"/>
    <s v="Wetland maintenance and planting agreement."/>
    <s v="Constructed Wetland Treatment"/>
    <x v="3"/>
    <s v="2019"/>
    <s v="2021"/>
    <s v="TBD"/>
    <s v="TBD"/>
    <s v="Upstream of Estuary BMAP"/>
    <n v="9"/>
    <n v="42395"/>
    <n v="21198"/>
    <s v="Glades County"/>
    <s v="$42,395"/>
    <s v="N/A"/>
    <s v="N/A"/>
    <n v="26.835516999999999"/>
    <n v="-81.124968999999993"/>
    <s v="N/A"/>
    <m/>
    <s v="Structural"/>
    <s v="Underway"/>
    <n v="2019"/>
    <s v="N/A"/>
    <s v="N/A"/>
  </r>
  <r>
    <n v="5208"/>
    <s v="Gerber Groves WCD"/>
    <s v="DEP/ FDACS"/>
    <s v="GG-01"/>
    <s v="Public Education and Outreach"/>
    <s v="Updates on BMAP and requirements during annual landowner meetings."/>
    <s v="Education Efforts"/>
    <x v="0"/>
    <s v="2020"/>
    <s v="N/A"/>
    <s v="N/A"/>
    <s v="N/A"/>
    <s v="West Caloosahatchee"/>
    <s v="N/A"/>
    <n v="500"/>
    <s v="N/A"/>
    <s v="Gerber Groves WCD"/>
    <s v="$500"/>
    <s v="N/A"/>
    <s v="N/A"/>
    <n v="26.677781"/>
    <n v="-81.342258000000001"/>
    <s v="N/A"/>
    <m/>
    <s v="Non-structural"/>
    <m/>
    <n v="2019"/>
    <s v="N/A"/>
    <s v="N/A"/>
  </r>
  <r>
    <n v="5209"/>
    <s v="Gerber Groves WCD"/>
    <s v="FDACS"/>
    <s v="GG-02"/>
    <s v="FDACS BMP Assistance"/>
    <s v="Provide assistance to FDACS, as needed, to encourage landowners to enroll in BMPs."/>
    <s v="Agricultural BMPs"/>
    <x v="0"/>
    <s v="2020"/>
    <s v="N/A"/>
    <s v="N/A"/>
    <s v="N/A"/>
    <s v="West Caloosahatchee"/>
    <s v="N/A"/>
    <n v="1000"/>
    <s v="N/A"/>
    <s v="Gerber Groves WCD"/>
    <s v="$1,000"/>
    <s v="N/A"/>
    <s v="N/A"/>
    <n v="26.677781"/>
    <n v="-81.342258000000001"/>
    <s v="N/A"/>
    <m/>
    <s v="Non-structural"/>
    <m/>
    <n v="2019"/>
    <s v="N/A"/>
    <s v="N/A"/>
  </r>
  <r>
    <n v="5210"/>
    <s v="Gerber Groves WCD"/>
    <s v="N/A"/>
    <s v="GG-03"/>
    <s v="Nutrient Controls"/>
    <s v="No application of fertilizer in district's rights-of-way."/>
    <s v="Fertilizer Cessation"/>
    <x v="1"/>
    <s v="2020"/>
    <s v="2020"/>
    <s v="N/A"/>
    <s v="N/A"/>
    <s v="West Caloosahatchee"/>
    <s v="N/A"/>
    <n v="0"/>
    <s v="N/A"/>
    <s v="Gerber Groves WCD"/>
    <s v="N/A"/>
    <s v="N/A"/>
    <s v="N/A"/>
    <n v="26.68239677"/>
    <n v="-81.344608140000005"/>
    <s v="N/A"/>
    <m/>
    <s v="Non-structural"/>
    <m/>
    <n v="2019"/>
    <s v="N/A"/>
    <s v="N/A"/>
  </r>
  <r>
    <n v="5211"/>
    <s v="Gerber Groves WCD"/>
    <s v="N/A"/>
    <s v="GG-04"/>
    <s v="Canal/Ditch Bank Berms"/>
    <s v="Minimize sediment transport by constructing berms on top of canal/ditch banks and promoting vegetation cover."/>
    <s v="Shoreline Stabilization"/>
    <x v="0"/>
    <s v="2021"/>
    <s v="TBD"/>
    <s v="N/A"/>
    <s v="N/A"/>
    <s v="West Caloosahatchee"/>
    <s v="N/A"/>
    <n v="5000"/>
    <s v="N/A"/>
    <s v="Gerber Groves WCD"/>
    <s v="$5,000"/>
    <s v="N/A"/>
    <s v="N/A"/>
    <n v="26.68239677"/>
    <n v="-81.344608140000005"/>
    <s v="N/A"/>
    <m/>
    <s v="Structural"/>
    <m/>
    <n v="2019"/>
    <s v="N/A"/>
    <s v="N/A"/>
  </r>
  <r>
    <n v="5212"/>
    <s v="Gerber Groves WCD"/>
    <s v="N/A"/>
    <s v="GG-05"/>
    <s v="Control Structures"/>
    <s v="Annual maintenance of water control structures."/>
    <s v="Control Structure"/>
    <x v="2"/>
    <s v="2021"/>
    <s v="N/A"/>
    <s v="N/A"/>
    <s v="N/A"/>
    <s v="West Caloosahatchee"/>
    <s v="N/A"/>
    <n v="5000"/>
    <s v="N/A"/>
    <s v="Gerber Groves WCD"/>
    <s v="$5,000"/>
    <s v="N/A"/>
    <s v="N/A"/>
    <n v="26.699728"/>
    <n v="-81.333053000000007"/>
    <s v="N/A"/>
    <m/>
    <s v="Structural"/>
    <m/>
    <n v="2019"/>
    <s v="N/A"/>
    <s v="N/A"/>
  </r>
  <r>
    <n v="5213"/>
    <s v="Hendry-Hilliard WCD"/>
    <s v="DEP/ FDACS"/>
    <s v="HH-01"/>
    <s v="Public Education and Outreach"/>
    <s v="Updates on BMAP and requirements during annual landowner meetings."/>
    <s v="Education Efforts"/>
    <x v="0"/>
    <s v="2020"/>
    <s v="N/A"/>
    <s v="N/A"/>
    <s v="N/A"/>
    <s v="East Caloosahatchee"/>
    <s v="N/A"/>
    <n v="500"/>
    <s v="N/A"/>
    <s v="Hendry-Hilliard WCD"/>
    <s v="$500"/>
    <s v="N/A"/>
    <s v="N/A"/>
    <n v="26.733741999999999"/>
    <s v="-81.1420.36"/>
    <s v="N/A"/>
    <m/>
    <s v="Non-structural"/>
    <m/>
    <n v="2019"/>
    <s v="N/A"/>
    <s v="N/A"/>
  </r>
  <r>
    <n v="5214"/>
    <s v="Hendry-Hilliard WCD"/>
    <s v="FDACS"/>
    <s v="HH-02"/>
    <s v="FDACS BMP Assistance"/>
    <s v="Provide assistance to FDACS, as needed, to encourage landowners to enroll in BMPs."/>
    <s v="Agricultural BMPs"/>
    <x v="0"/>
    <s v="2020"/>
    <s v="N/A"/>
    <s v="N/A"/>
    <s v="N/A"/>
    <s v="East Caloosahatchee"/>
    <s v="N/A"/>
    <n v="1000"/>
    <s v="N/A"/>
    <s v="Hendry-Hilliard WCD"/>
    <s v="$1,000"/>
    <s v="N/A"/>
    <s v="N/A"/>
    <n v="26.733741999999999"/>
    <s v="-81.1420.36"/>
    <s v="N/A"/>
    <m/>
    <s v="Non-structural"/>
    <m/>
    <n v="2019"/>
    <s v="N/A"/>
    <s v="N/A"/>
  </r>
  <r>
    <n v="5215"/>
    <s v="Hendry-Hilliard WCD"/>
    <s v="N/A"/>
    <s v="HH-03"/>
    <s v="Nutrient Controls"/>
    <s v="No application of fertilizer in district's rights-of-way."/>
    <s v="Fertilizer Cessation"/>
    <x v="1"/>
    <s v="2020"/>
    <s v="2020"/>
    <s v="N/A"/>
    <s v="N/A"/>
    <s v="East Caloosahatchee"/>
    <s v="N/A"/>
    <n v="0"/>
    <s v="N/A"/>
    <s v="Hendry-Hilliard WCD"/>
    <s v="N/A"/>
    <s v="N/A"/>
    <s v="N/A"/>
    <n v="26.738786000000001"/>
    <s v="-81.1556.17"/>
    <s v="N/A"/>
    <m/>
    <s v="Non-structural"/>
    <m/>
    <n v="2019"/>
    <s v="N/A"/>
    <s v="N/A"/>
  </r>
  <r>
    <n v="5216"/>
    <s v="Hendry-Hilliard WCD"/>
    <s v="N/A"/>
    <s v="HH-04"/>
    <s v="Slow Velocity in the Main Canal"/>
    <s v="Minimize sediment transport by slowing velocity in main canal near main discharge structure."/>
    <s v="Control Structure"/>
    <x v="0"/>
    <s v="2021"/>
    <s v="TBD"/>
    <s v="N/A"/>
    <s v="N/A"/>
    <s v="East Caloosahatchee"/>
    <s v="N/A"/>
    <n v="3500"/>
    <s v="N/A"/>
    <s v="Hendry-Hilliard WCD"/>
    <s v="$3,500"/>
    <s v="N/A"/>
    <s v="N/A"/>
    <n v="26.738786000000001"/>
    <s v="-81.1556.17"/>
    <s v="N/A"/>
    <m/>
    <s v="Structural"/>
    <m/>
    <n v="2019"/>
    <s v="N/A"/>
    <s v="N/A"/>
  </r>
  <r>
    <n v="5217"/>
    <s v="Hendry-Hilliard WCD"/>
    <s v="N/A"/>
    <s v="HH-05"/>
    <s v="Control Structures"/>
    <s v="Annual maintenance of water control structures."/>
    <s v="Control Structure"/>
    <x v="2"/>
    <s v="2021"/>
    <s v="N/A"/>
    <s v="N/A"/>
    <s v="N/A"/>
    <s v="East Caloosahatchee"/>
    <s v="N/A"/>
    <n v="2000"/>
    <s v="N/A"/>
    <s v="Hendry-Hilliard WCD"/>
    <s v="$2,000"/>
    <s v="N/A"/>
    <s v="N/A"/>
    <n v="26.758478"/>
    <n v="-81.151114000000007"/>
    <s v="N/A"/>
    <m/>
    <s v="Structural"/>
    <m/>
    <n v="2019"/>
    <s v="N/A"/>
    <s v="N/A"/>
  </r>
  <r>
    <n v="2382"/>
    <s v="LA-MSID (formerly ECWCD)"/>
    <s v="Not provided"/>
    <s v="LA-01"/>
    <s v="Education/Pollution Prevention/Fertilizer"/>
    <s v="Pollution prevention and fertilizer education."/>
    <s v="Education Efforts"/>
    <x v="2"/>
    <s v="Not provided"/>
    <s v="N/A"/>
    <n v="1622.5190861155108"/>
    <n v="276.47363964071855"/>
    <s v="Tidal Caloosahatchee; West Caloosahatchee"/>
    <s v="N/A"/>
    <s v="Not provided"/>
    <s v="Not provided"/>
    <s v="Not provided"/>
    <s v="Not provided"/>
    <s v="N/A"/>
    <s v="Not provided"/>
    <s v="N/A"/>
    <s v="N/A"/>
    <s v="N/A"/>
    <m/>
    <s v="Non-structural"/>
    <s v="Ongoing"/>
    <n v="2012"/>
    <n v="746.61243200000001"/>
    <s v="N/A"/>
  </r>
  <r>
    <n v="2383"/>
    <s v="LA-MSID (formerly ECWCD)"/>
    <s v="Not provided"/>
    <s v="LA-02"/>
    <s v="Freshwater Canal Detention"/>
    <s v="Regulation of freshwater canals through existing control structures."/>
    <s v="Control Structure"/>
    <x v="1"/>
    <s v="Not provided"/>
    <s v="Prior to 2012"/>
    <n v="9377.908998913872"/>
    <n v="1464.9327200455059"/>
    <s v="Tidal Caloosahatchee; West Caloosahatchee"/>
    <n v="32555"/>
    <s v="Not provided"/>
    <s v="Not provided"/>
    <s v="Not provided"/>
    <s v="Not provided"/>
    <s v="N/A"/>
    <s v="Not provided"/>
    <s v="Not provided"/>
    <s v="Not provided"/>
    <s v="N/A"/>
    <m/>
    <s v="Structural"/>
    <s v="Completed"/>
    <n v="2012"/>
    <n v="3601.5204800000001"/>
    <s v="N/A"/>
  </r>
  <r>
    <n v="2385"/>
    <s v="LA-MSID (formerly ECWCD)"/>
    <s v="Not provided"/>
    <s v="LA-03"/>
    <s v="Weir Elevation Improvements"/>
    <s v="Replacement of weir structures at increased control elevations to provide additional attenuation."/>
    <s v="Control Structure"/>
    <x v="1"/>
    <s v="Not provided"/>
    <s v="Prior to 2012"/>
    <n v="8909.0135489681779"/>
    <n v="1391.6860840432307"/>
    <s v="Tidal Caloosahatchee; West Caloosahatchee"/>
    <n v="32555"/>
    <s v="Not provided"/>
    <s v="Not provided"/>
    <s v="Not provided"/>
    <s v="Not provided"/>
    <s v="N/A"/>
    <s v="Not provided"/>
    <s v="Not provided"/>
    <s v="Not provided"/>
    <s v="N/A"/>
    <m/>
    <s v="Structural"/>
    <s v="Completed"/>
    <n v="2012"/>
    <n v="3421.4444560000002"/>
    <s v="N/A"/>
  </r>
  <r>
    <n v="2387"/>
    <s v="LA-MSID (formerly ECWCD)"/>
    <s v="Not provided"/>
    <s v="LA-04"/>
    <s v="Harn's Marsh Phases I and II"/>
    <s v="Replacement of weir structures and redirection of flows into filter marsh."/>
    <s v="Control Structure"/>
    <x v="1"/>
    <s v="Not provided"/>
    <s v="Prior to 2012"/>
    <s v="TBD"/>
    <s v="TBD"/>
    <s v="Tidal Caloosahatchee"/>
    <n v="32555"/>
    <s v="Not provided"/>
    <s v="Not provided"/>
    <s v="Not provided"/>
    <s v="Not provided"/>
    <s v="N/A"/>
    <s v="Not provided"/>
    <n v="26.65282629"/>
    <n v="-81.692856840000005"/>
    <s v="N/A"/>
    <m/>
    <s v="Structural"/>
    <s v="Completed"/>
    <n v="2012"/>
    <n v="2123.717744"/>
    <s v="N/A"/>
  </r>
  <r>
    <n v="2354"/>
    <s v="LA-MSID (formerly ECWCD)"/>
    <s v="Not provided"/>
    <s v="LA-05"/>
    <s v="Jim Flemming Eco-Park"/>
    <s v="Wetland rehydration and treatment."/>
    <s v="Hydrologic Restoration"/>
    <x v="1"/>
    <s v="Not provided"/>
    <s v="Prior to 2012"/>
    <n v="7942.2942934720131"/>
    <n v="1715.8112762205844"/>
    <s v="Tidal Caloosahatchee"/>
    <n v="5.0199999999999996"/>
    <s v="Not provided"/>
    <s v="Not provided"/>
    <s v="Not provided"/>
    <s v="Not provided"/>
    <s v="N/A"/>
    <s v="Not provided"/>
    <n v="26.617427930000002"/>
    <n v="-81.695783120000002"/>
    <s v="N/A"/>
    <m/>
    <s v="Structural"/>
    <s v="Completed"/>
    <n v="2012"/>
    <n v="17.808021919999998"/>
    <s v="N/A"/>
  </r>
  <r>
    <n v="2352"/>
    <s v="LA-MSID (formerly ECWCD)"/>
    <s v="Not provided"/>
    <s v="LA-06"/>
    <s v="Mirror Lake Phase I"/>
    <s v="Detention pond."/>
    <s v="Wet Detention Pond"/>
    <x v="1"/>
    <s v="Not provided"/>
    <s v="2013"/>
    <n v="819.06950398826666"/>
    <n v="127.17501865455264"/>
    <s v="Tidal Caloosahatchee"/>
    <n v="32555"/>
    <s v="Not provided"/>
    <s v="Not provided"/>
    <s v="Not provided"/>
    <s v="Not provided"/>
    <s v="N/A"/>
    <s v="Not provided"/>
    <n v="26.56256346"/>
    <n v="-81.647469569999998"/>
    <s v="N/A"/>
    <m/>
    <s v="Structural"/>
    <s v="Completed"/>
    <n v="2012"/>
    <n v="615.52434400000004"/>
    <s v="N/A"/>
  </r>
  <r>
    <n v="2377"/>
    <s v="LA-MSID (formerly ECWCD)"/>
    <s v="DEP/ FDOT"/>
    <s v="LA-07"/>
    <s v="Aquifer Benefit and Storage for Orange River Basin (Southwest Lehigh Weirs)"/>
    <s v="Increase canal control elevations and local groundwater levels by constructing 25 new weirs."/>
    <s v="Control Structure"/>
    <x v="1"/>
    <s v="2016"/>
    <s v="2017"/>
    <n v="5550.986471295053"/>
    <n v="935.11069335242212"/>
    <s v="Tidal Caloosahatchee"/>
    <n v="5760"/>
    <n v="2532311.3199999998"/>
    <s v="Not provided"/>
    <s v="DEP/ FDOT"/>
    <s v="DEP - $1,224,800/ FDOT - $1,903,200"/>
    <s v="S0721"/>
    <s v="N/A"/>
    <n v="26.590993109999999"/>
    <n v="-81.685941060000005"/>
    <s v="N/A"/>
    <m/>
    <s v="Structural"/>
    <m/>
    <n v="2016"/>
    <n v="895.8442"/>
    <s v="N/A"/>
  </r>
  <r>
    <n v="2344"/>
    <s v="LA-MSID (formerly ECWCD)"/>
    <s v="N/A"/>
    <s v="LA-08"/>
    <s v="S-AW-2 Weir Elevation Improvements"/>
    <s v="Replacement of weir structures at increase control elevations to provide additional attenuation."/>
    <s v="Control Structure"/>
    <x v="1"/>
    <s v="2016"/>
    <s v="2017"/>
    <n v="415.70182472888177"/>
    <n v="61.421911762441724"/>
    <s v="Tidal Caloosahatchee"/>
    <n v="640"/>
    <n v="400000"/>
    <n v="15000"/>
    <s v="LA-MSID"/>
    <s v="LA-MSID - $400,000"/>
    <s v="N/A"/>
    <s v="N/A"/>
    <n v="26.592390000000002"/>
    <n v="-81.617940000000004"/>
    <s v="N/A"/>
    <m/>
    <s v="Structural"/>
    <m/>
    <n v="2017"/>
    <n v="147.19060400000001"/>
    <s v="N/A"/>
  </r>
  <r>
    <n v="2363"/>
    <s v="LA-MSID (formerly ECWCD)"/>
    <s v="SFWMD"/>
    <s v="LA-09"/>
    <s v="Mirror Lake Phase 2"/>
    <s v="Detention pond."/>
    <s v="Wet Detention Pond"/>
    <x v="3"/>
    <s v="2017"/>
    <s v="2018"/>
    <n v="738.80069259741651"/>
    <n v="108.86181596829707"/>
    <s v="Tidal Caloosahatchee"/>
    <n v="32555"/>
    <n v="500000"/>
    <s v="TBD"/>
    <s v="LA-MSID/ SFWMD"/>
    <s v="LA-MSID - $300,000/ SFWMD - $200,000"/>
    <s v="N/A"/>
    <s v="Not provided"/>
    <n v="26.56049063"/>
    <n v="-81.637770700000004"/>
    <s v="N/A"/>
    <m/>
    <s v="Structural"/>
    <s v="In Design"/>
    <n v="2017"/>
    <n v="2239.8372960000002"/>
    <s v="N/A"/>
  </r>
  <r>
    <n v="2348"/>
    <s v="LA-MSID (formerly ECWCD)"/>
    <s v="FDOT/ Lee County"/>
    <s v="LA-10"/>
    <s v="West Marsh Preserve"/>
    <s v="Wetland rehydration and treatment."/>
    <s v="Hydrologic Restoration"/>
    <x v="3"/>
    <s v="2017"/>
    <s v="2020"/>
    <s v="TBD"/>
    <s v="TBD"/>
    <s v="Tidal Caloosahatchee"/>
    <n v="32555"/>
    <n v="12000000"/>
    <s v="TBD"/>
    <s v="LA-MSID/ FDOT/ Lee County"/>
    <s v="LA-MSID - $2,368,300/ FDOT - $5,000,000/ Lee County - $4,631,700"/>
    <s v="N/A"/>
    <s v="Not provided"/>
    <n v="26.648128549999999"/>
    <n v="-81.702494020000003"/>
    <s v="N/A"/>
    <m/>
    <s v="Structural"/>
    <m/>
    <n v="2017"/>
    <n v="913.98788000000002"/>
    <s v="N/A"/>
  </r>
  <r>
    <n v="2347"/>
    <s v="LA-MSID (formerly ECWCD)"/>
    <s v="NRCS/ FEMA"/>
    <s v="LA-11"/>
    <s v="S-H-2 Weir Replacement"/>
    <s v="Replace failed fabriform weir."/>
    <s v="Control Structure"/>
    <x v="3"/>
    <s v="2018"/>
    <s v="2019"/>
    <n v="75.722903126017727"/>
    <n v="7.7905534450236535"/>
    <s v="West Caloosahatchee"/>
    <n v="1100"/>
    <n v="675000"/>
    <s v="TBD"/>
    <s v="NRCS/ FEMA/ LA-MSID"/>
    <s v="TBD"/>
    <s v="TBD"/>
    <s v="N/A"/>
    <s v="Not provided"/>
    <s v="Not provided"/>
    <s v="N/A"/>
    <m/>
    <s v="Structural"/>
    <m/>
    <n v="2017"/>
    <s v="TBD"/>
    <s v="TBD"/>
  </r>
  <r>
    <n v="2346"/>
    <s v="LA-MSID (formerly ECWCD)"/>
    <s v="FDOT"/>
    <s v="LA-12"/>
    <s v="Hendry Canal Widening"/>
    <s v="Widen three miles of Hendry Ext. Canal. Create additional stormwater storage within the canal system."/>
    <s v="Hydrologic Restoration"/>
    <x v="3"/>
    <s v="2020"/>
    <s v="2021"/>
    <s v="TBD"/>
    <s v="TBD"/>
    <s v="West Caloosahatchee"/>
    <n v="4100"/>
    <n v="5000000"/>
    <s v="TBD"/>
    <s v="LA-MSID/ FDOT"/>
    <s v="TBD"/>
    <s v="TBD"/>
    <s v="N/A"/>
    <n v="26.571535619999999"/>
    <n v="-81.565114050000005"/>
    <s v="N/A"/>
    <m/>
    <s v="Structural"/>
    <m/>
    <n v="2017"/>
    <s v="TBD"/>
    <s v="TBD"/>
  </r>
  <r>
    <n v="2282"/>
    <s v="Lee County"/>
    <s v="N/A"/>
    <s v="LC-01"/>
    <s v="Yellow Fever Creek Preserve"/>
    <s v="Land purchase and conversion to conservation land use."/>
    <s v="Land Use Change"/>
    <x v="1"/>
    <s v="2012"/>
    <s v="2012"/>
    <n v="66.05215954825394"/>
    <n v="30.922124601592543"/>
    <s v="Tidal Caloosahatchee"/>
    <n v="220"/>
    <n v="3323506"/>
    <n v="11703"/>
    <s v="County"/>
    <s v="County - $3,323,506"/>
    <s v="N/A"/>
    <s v="N/A"/>
    <n v="26.710315000000001"/>
    <n v="-81.933828000000005"/>
    <s v="N/A"/>
    <m/>
    <s v="Non-structural"/>
    <s v="Completed"/>
    <n v="2012"/>
    <n v="14.514944"/>
    <s v="N/A"/>
  </r>
  <r>
    <n v="2293"/>
    <s v="Lee County"/>
    <s v="N/A"/>
    <s v="LC-02"/>
    <s v="Billy's Creek Preserve"/>
    <s v="Land purchase and conversion to conservation land use."/>
    <s v="Land Use Change"/>
    <x v="1"/>
    <s v="2012"/>
    <s v="2012"/>
    <n v="46.555076842230449"/>
    <n v="1.6464117536248359"/>
    <s v="Tidal Caloosahatchee"/>
    <n v="50.7"/>
    <n v="2500000"/>
    <s v="N/A"/>
    <s v="County"/>
    <s v="County - $2,500,000"/>
    <s v="N/A"/>
    <s v="N/A"/>
    <n v="26.662645000000001"/>
    <n v="-81.824427999999997"/>
    <s v="N/A"/>
    <m/>
    <s v="Non-structural"/>
    <s v="Completed"/>
    <n v="2012"/>
    <n v="7.7110640000000004"/>
    <s v="N/A"/>
  </r>
  <r>
    <n v="2284"/>
    <s v="Lee County"/>
    <s v="SFWMD"/>
    <s v="LC-03"/>
    <s v="Six Mile Cypress Preserve"/>
    <s v="Land purchase and conversion to conservation land use."/>
    <s v="Land Use Change"/>
    <x v="1"/>
    <s v="2012"/>
    <s v="2012"/>
    <n v="1625.8593484607027"/>
    <n v="58.864275999135259"/>
    <s v="Tidal Caloosahatchee"/>
    <n v="1219"/>
    <n v="71475196"/>
    <n v="149212"/>
    <s v="County/ SFWMD"/>
    <s v="Not provided"/>
    <s v="N/A"/>
    <s v="N/A"/>
    <s v="26.570475"/>
    <s v="-81.796735"/>
    <s v="N/A"/>
    <m/>
    <s v="Non-structural"/>
    <s v="Completed"/>
    <n v="2012"/>
    <n v="5.8966960000000004"/>
    <s v="N/A"/>
  </r>
  <r>
    <n v="2275"/>
    <s v="Lee County"/>
    <s v="SFWMD/ National Oceanic and Atmospheric Administration (NOAA)"/>
    <s v="LC-04"/>
    <s v="Bob Jane's Preserve"/>
    <s v="Land purchase and conversion to conservation land use."/>
    <s v="Land Use Change"/>
    <x v="1"/>
    <s v="2012"/>
    <s v="2012"/>
    <n v="14714.028783389726"/>
    <n v="495.26794306448346"/>
    <s v="Tidal Caloosahatchee; West Caloosahatchee"/>
    <n v="1978.9"/>
    <n v="41538620"/>
    <n v="639924"/>
    <s v="County/ SFWMD/ NOAA"/>
    <s v="Not provided"/>
    <s v="N/A"/>
    <s v="N/A"/>
    <n v="26.754301999999999"/>
    <n v="-81.655325000000005"/>
    <s v="N/A"/>
    <m/>
    <s v="Non-structural"/>
    <s v="Completed"/>
    <n v="2012"/>
    <n v="0"/>
    <s v="N/A"/>
  </r>
  <r>
    <n v="2286"/>
    <s v="Lee County"/>
    <s v="N/A"/>
    <s v="LC-05"/>
    <s v="Buckingham Trails Preserve"/>
    <s v="Land purchase and conversion to conservation land use."/>
    <s v="Land Use Change"/>
    <x v="1"/>
    <s v="2012"/>
    <s v="2012"/>
    <n v="1814.5154663232602"/>
    <n v="68.357280409397674"/>
    <s v="Tidal Caloosahatchee"/>
    <n v="575.5"/>
    <n v="12584000"/>
    <n v="18708"/>
    <s v="County"/>
    <s v="County - $12,584,000"/>
    <s v="N/A"/>
    <s v="N/A"/>
    <n v="26.637291000000001"/>
    <n v="-81.739155999999994"/>
    <s v="N/A"/>
    <m/>
    <s v="Non-structural"/>
    <s v="Completed"/>
    <n v="2012"/>
    <n v="5.8966960000000004"/>
    <s v="N/A"/>
  </r>
  <r>
    <n v="2287"/>
    <s v="Lee County"/>
    <s v="Florida Communities Trust (FCT)"/>
    <s v="LC-06"/>
    <s v="Caloosahatchee Creeks Preserve"/>
    <s v="Land purchase and conversion to conservation land use."/>
    <s v="Land Use Change"/>
    <x v="1"/>
    <s v="2012"/>
    <s v="2012"/>
    <n v="88.542392779391776"/>
    <n v="11.290510821573747"/>
    <s v="Tidal Caloosahatchee"/>
    <n v="911.3"/>
    <n v="8175706"/>
    <n v="81323"/>
    <s v="County"/>
    <s v="County - $8,175,706"/>
    <s v="N/A"/>
    <s v="N/A"/>
    <n v="26.703710999999998"/>
    <n v="-81.793069000000003"/>
    <s v="N/A"/>
    <m/>
    <s v="Non-structural"/>
    <s v="Completed"/>
    <n v="2012"/>
    <n v="6.8038799999999995"/>
    <s v="N/A"/>
  </r>
  <r>
    <n v="2264"/>
    <s v="Lee County"/>
    <s v="N/A"/>
    <s v="LC-07"/>
    <s v="Deep Lagoon Preserve"/>
    <s v="Land purchase and conversion to conservation land use."/>
    <s v="Land Use Change"/>
    <x v="1"/>
    <s v="2012"/>
    <s v="2012"/>
    <n v="144.05997969276132"/>
    <n v="10.42818769475538"/>
    <s v="Tidal Caloosahatchee"/>
    <n v="117"/>
    <n v="4475664.2300000004"/>
    <n v="9915"/>
    <s v="County"/>
    <s v="County - $4,475,664"/>
    <s v="N/A"/>
    <s v="N/A"/>
    <n v="26.527190999999998"/>
    <n v="-81.921706999999998"/>
    <s v="N/A"/>
    <m/>
    <s v="Non-structural"/>
    <s v="Completed"/>
    <n v="2012"/>
    <n v="1.360776"/>
    <s v="N/A"/>
  </r>
  <r>
    <n v="2288"/>
    <s v="Lee County"/>
    <s v="N/A"/>
    <s v="LC-08"/>
    <s v="Hickory Swamp Preserve"/>
    <s v="Land purchase and conversion to conservation land use."/>
    <s v="Land Use Change"/>
    <x v="1"/>
    <s v="2012"/>
    <s v="2012"/>
    <n v="225.68547556334715"/>
    <n v="8.517309877018878"/>
    <s v="Tidal Caloosahatchee"/>
    <n v="67.2"/>
    <n v="467000"/>
    <n v="3856"/>
    <s v="County"/>
    <s v="County - $467,000"/>
    <s v="N/A"/>
    <s v="N/A"/>
    <n v="26.665234000000002"/>
    <n v="-81.738647"/>
    <s v="N/A"/>
    <m/>
    <s v="Non-structural"/>
    <s v="Completed"/>
    <n v="2012"/>
    <n v="1.360776"/>
    <s v="N/A"/>
  </r>
  <r>
    <n v="2252"/>
    <s v="Lee County"/>
    <s v="N/A"/>
    <s v="LC-09"/>
    <s v="Orange River Preserve"/>
    <s v="Land purchase and conversion to conservation land use."/>
    <s v="Land Use Change"/>
    <x v="1"/>
    <s v="2012"/>
    <s v="2012"/>
    <n v="6.5437556569845583"/>
    <n v="1.2870802112779369"/>
    <s v="Tidal Caloosahatchee"/>
    <n v="59.1"/>
    <n v="1755000"/>
    <n v="2966"/>
    <s v="County"/>
    <s v="County - $1,755,000"/>
    <s v="N/A"/>
    <s v="N/A"/>
    <n v="26.690852"/>
    <n v="-81.783652000000004"/>
    <s v="N/A"/>
    <m/>
    <s v="Non-structural"/>
    <s v="Completed"/>
    <n v="2012"/>
    <n v="1.360776"/>
    <s v="N/A"/>
  </r>
  <r>
    <n v="2290"/>
    <s v="Lee County"/>
    <s v="FCT"/>
    <s v="LC-10"/>
    <s v="Prairie Pines Preserve"/>
    <s v="Land purchase and conversion to conservation land use."/>
    <s v="Land Use Change"/>
    <x v="1"/>
    <s v="2012"/>
    <s v="2012"/>
    <n v="7.4696171764458086E-2"/>
    <n v="1.9789510702473478E-2"/>
    <s v="Tidal Caloosahatchee"/>
    <n v="330.9"/>
    <n v="11790529.949999999"/>
    <n v="190454"/>
    <s v="County"/>
    <s v="County - $11,790,530"/>
    <s v="N/A"/>
    <s v="N/A"/>
    <n v="26.742021000000001"/>
    <n v="-81.876716000000002"/>
    <s v="N/A"/>
    <m/>
    <s v="Non-structural"/>
    <s v="Completed"/>
    <n v="2012"/>
    <n v="1.360776"/>
    <s v="N/A"/>
  </r>
  <r>
    <n v="2291"/>
    <s v="Lee County"/>
    <s v="N/A"/>
    <s v="LC-11"/>
    <s v="Telegraph Creek Preserve"/>
    <s v="Land purchase and conversion to conservation land use."/>
    <s v="Land Use Change"/>
    <x v="1"/>
    <s v="2012"/>
    <s v="2012"/>
    <n v="4676.2257618141539"/>
    <n v="139.67865558403116"/>
    <s v="Tidal Caloosahatchee"/>
    <n v="1715.1"/>
    <n v="23900000"/>
    <n v="54639"/>
    <s v="County"/>
    <s v="County - $23,900,000"/>
    <s v="N/A"/>
    <s v="N/A"/>
    <n v="26.744064000000002"/>
    <n v="-81.696723000000006"/>
    <s v="N/A"/>
    <m/>
    <s v="Non-structural"/>
    <s v="Completed"/>
    <n v="2012"/>
    <n v="0"/>
    <s v="N/A"/>
  </r>
  <r>
    <n v="2283"/>
    <s v="Lee County"/>
    <s v="N/A"/>
    <s v="LC-12"/>
    <s v="West Marsh Preserve"/>
    <s v="Land purchase and conversion to conservation land use."/>
    <s v="Land Use Change"/>
    <x v="1"/>
    <s v="2012"/>
    <s v="2012"/>
    <n v="148.00277321217226"/>
    <n v="41.346565624486509"/>
    <s v="Tidal Caloosahatchee"/>
    <n v="218.1"/>
    <n v="4631625"/>
    <s v="N/A"/>
    <s v="County"/>
    <s v="County - $4,631,625"/>
    <s v="N/A"/>
    <s v="N/A"/>
    <n v="26.647427"/>
    <n v="-81.705286999999998"/>
    <s v="N/A"/>
    <m/>
    <s v="Non-structural"/>
    <s v="Completed"/>
    <n v="2012"/>
    <n v="1.360776"/>
    <s v="N/A"/>
  </r>
  <r>
    <n v="2258"/>
    <s v="Lee County"/>
    <s v="N/A"/>
    <s v="LC-13"/>
    <s v="Yellow Fever Creek Preserve"/>
    <s v="Land purchase and conversion to conservation land use."/>
    <s v="Land Use Change"/>
    <x v="1"/>
    <s v="2012"/>
    <s v="2012"/>
    <n v="34.096796427158893"/>
    <n v="48.356621755709448"/>
    <s v="Tidal Caloosahatchee"/>
    <n v="117.8"/>
    <n v="3323506.74"/>
    <n v="11703"/>
    <s v="County"/>
    <s v="County - $3,323,507"/>
    <s v="N/A"/>
    <s v="N/A"/>
    <n v="26.709429"/>
    <n v="-81.933543999999998"/>
    <s v="N/A"/>
    <m/>
    <s v="Non-structural"/>
    <s v="Completed"/>
    <n v="2012"/>
    <n v="0"/>
    <s v="N/A"/>
  </r>
  <r>
    <n v="2268"/>
    <s v="Lee County"/>
    <s v="UF–IFAS Lee County Extension"/>
    <s v="LC-15"/>
    <s v="Education Efforts"/>
    <s v="FYN; landscape, irrigation, and fertilizer ordinances; pamphlets, PSAs, website, illicit discharge program; WETPLAN."/>
    <s v="Education Efforts"/>
    <x v="2"/>
    <s v="Prior to 2012"/>
    <s v="N/A"/>
    <n v="12957.46859635798"/>
    <n v="4993.8662873840367"/>
    <s v="Tidal Caloosahatchee"/>
    <s v="N/A"/>
    <n v="392441"/>
    <n v="125000"/>
    <s v="County"/>
    <s v="County - $12,000"/>
    <s v="NF060"/>
    <s v="N/A"/>
    <s v="26.652749"/>
    <s v="-81.776875"/>
    <s v="N/A"/>
    <m/>
    <s v="Non-structural"/>
    <s v="Ongoing"/>
    <n v="2012"/>
    <n v="9273.6884399999999"/>
    <s v="N/A"/>
  </r>
  <r>
    <n v="2272"/>
    <s v="Lee County"/>
    <s v="N/A"/>
    <s v="LC-16"/>
    <s v="Street Sweeping"/>
    <s v="Materials from roadway and gutter sweeping."/>
    <s v="Street Sweeping"/>
    <x v="2"/>
    <s v="2000"/>
    <s v="N/A"/>
    <n v="571.80118023027933"/>
    <n v="374.13414835944224"/>
    <s v="Tidal Caloosahatchee"/>
    <s v="N/A"/>
    <n v="694176"/>
    <n v="248572.3"/>
    <s v="County"/>
    <s v="N/A"/>
    <s v="N/A"/>
    <s v="N/A"/>
    <s v="N/A"/>
    <s v="N/A"/>
    <s v="N/A"/>
    <m/>
    <s v="Non-structural"/>
    <s v="Ongoing"/>
    <n v="2012"/>
    <n v="269.88724000000002"/>
    <s v="N/A"/>
  </r>
  <r>
    <n v="2273"/>
    <s v="Lee County"/>
    <s v="N/A"/>
    <s v="LC-17"/>
    <s v="North Fort Myers Surface Water Restoration: Powell Creek Extension and Lost Lane Levee"/>
    <s v="Conveyance improvements to increase residence time, rehydrate offsite wetlands on adjacent properties, and accommodate offsite flows."/>
    <s v="Hydrologic Restoration"/>
    <x v="1"/>
    <s v="Prior to 2012"/>
    <s v="2013"/>
    <n v="13638.332035764297"/>
    <n v="3535.7929785389233"/>
    <s v="Tidal Caloosahatchee"/>
    <n v="397.1"/>
    <n v="3485817"/>
    <n v="17101"/>
    <s v="County"/>
    <s v="N/A"/>
    <s v="N/A"/>
    <s v="N/A"/>
    <n v="26.738579000000001"/>
    <n v="-81.871095999999994"/>
    <s v="N/A"/>
    <m/>
    <s v="Structural"/>
    <s v="Completed"/>
    <n v="2012"/>
    <n v="1349.8897919999999"/>
    <s v="N/A"/>
  </r>
  <r>
    <n v="2289"/>
    <s v="Lee County"/>
    <s v="N/A"/>
    <s v="LC-18"/>
    <s v="Whiskey Creek Weir Reconstruction"/>
    <s v="Retention lake weir repairs to restore originally intended design and operation."/>
    <s v="Control Structure"/>
    <x v="1"/>
    <s v="Prior to 2012"/>
    <s v="Prior to 2012"/>
    <n v="27712.185154679402"/>
    <n v="9113.0035318918763"/>
    <s v="Tidal Caloosahatchee"/>
    <n v="549.6"/>
    <s v="N/A"/>
    <s v="N/A"/>
    <s v="County"/>
    <s v="N/A"/>
    <s v="N/A"/>
    <s v="N/A"/>
    <n v="26.575157999999998"/>
    <n v="-81.892427999999995"/>
    <s v="N/A"/>
    <m/>
    <s v="Structural"/>
    <s v="Completed"/>
    <n v="2012"/>
    <n v="1525.8834879999999"/>
    <s v="N/A"/>
  </r>
  <r>
    <n v="2271"/>
    <s v="Lee County"/>
    <s v="SFWMD/ U.S. Fish and Wildlife Service (FWS)"/>
    <s v="LC-19"/>
    <s v="Caloosahatchee Creeks East"/>
    <s v="Hydrologic restoration."/>
    <s v="Hydrologic Restoration"/>
    <x v="1"/>
    <s v="Prior to 2012"/>
    <s v="Prior to 2012"/>
    <n v="248.49752398516296"/>
    <n v="20.107639452434384"/>
    <s v="Tidal Caloosahatchee"/>
    <n v="6567.4"/>
    <n v="326955"/>
    <s v="N/A"/>
    <s v="County/ SFWMD/ FWS"/>
    <s v="$95,000"/>
    <s v="N/A"/>
    <s v="36-06163-P"/>
    <n v="26.703710999999998"/>
    <n v="-81.793069000000003"/>
    <s v="N/A"/>
    <m/>
    <s v="Structural"/>
    <s v="Completed"/>
    <n v="2012"/>
    <n v="1928.2195919999999"/>
    <s v="N/A"/>
  </r>
  <r>
    <n v="2270"/>
    <s v="Lee County"/>
    <s v="DEP/ SFWMD"/>
    <s v="LC-20"/>
    <s v="Powell Creek Filter Marsh"/>
    <s v="Created wetland areas, boardwalks, and trails and a stabilized crossing of Powell Creek."/>
    <s v="Constructed Wetland Treatment"/>
    <x v="1"/>
    <s v="Prior to 2012"/>
    <s v="2013"/>
    <n v="5244.675772773975"/>
    <n v="2053.0619487093727"/>
    <s v="Tidal Caloosahatchee"/>
    <n v="1169.5999999999999"/>
    <n v="1440000"/>
    <n v="38395"/>
    <s v="County/ DEP"/>
    <s v="$1,025,000"/>
    <s v="S0606"/>
    <s v="N/A"/>
    <n v="26.691058999999999"/>
    <n v="-81.867694999999998"/>
    <s v="N/A"/>
    <m/>
    <s v="Structural"/>
    <s v="Completed"/>
    <n v="2012"/>
    <n v="767.93125599999996"/>
    <s v="N/A"/>
  </r>
  <r>
    <n v="2269"/>
    <s v="Lee County"/>
    <s v="DEP"/>
    <s v="LC-21"/>
    <s v="Nalle Grade Stormwater Park"/>
    <s v="Dry retention and wet detention ponds."/>
    <s v="Stormwater Treatment Areas (STAs)"/>
    <x v="3"/>
    <s v="2019"/>
    <s v="2021"/>
    <n v="12084.348998984902"/>
    <n v="1027.302150234586"/>
    <s v="Tidal Caloosahatchee"/>
    <n v="720.36"/>
    <n v="3500000"/>
    <s v="TBD"/>
    <s v="County/ DEP"/>
    <s v="DEP - $500,000"/>
    <s v="S0727"/>
    <s v="N/A"/>
    <n v="26.753631899999998"/>
    <n v="-81.821141109999999"/>
    <s v="N/A"/>
    <m/>
    <s v="Structural"/>
    <s v="Future"/>
    <n v="2012"/>
    <n v="624.59618399999999"/>
    <s v="N/A"/>
  </r>
  <r>
    <m/>
    <s v="LA-MSID (formerly ECWCD)"/>
    <s v="Not provided"/>
    <s v="LA-13"/>
    <s v="CREST"/>
    <s v="Purchased 100 acres agricultural land to construct STA."/>
    <s v="Land Use Change"/>
    <x v="1"/>
    <s v="2018"/>
    <s v="2018"/>
    <n v="376.56605817548927"/>
    <n v="70.243951754660188"/>
    <s v="West Caloosahatchee"/>
    <n v="103.52288594552769"/>
    <n v="255800"/>
    <s v="Not provided"/>
    <s v="LA-MSID"/>
    <s v="$255,800"/>
    <s v="N/A"/>
    <s v="N/A"/>
    <n v="26.644829999999999"/>
    <n v="-81.522099999999995"/>
    <s v="N/A"/>
    <s v="TBD"/>
    <s v="Non-structural"/>
    <m/>
    <n v="2020"/>
    <s v="N/A"/>
    <s v="N/A"/>
  </r>
  <r>
    <n v="2259"/>
    <s v="Lee County"/>
    <s v="SFWMD"/>
    <s v="LC-22"/>
    <s v="Deep Lagoon Hydrologic Restoration"/>
    <s v="Hydrologic restoration and enhancement, water conservation, wildlife habitat enhancement, and flood protection for surrounding area."/>
    <s v="Hydrologic Restoration"/>
    <x v="1"/>
    <s v="Prior to 2012"/>
    <s v="Prior to 2012"/>
    <n v="144.34089922384274"/>
    <n v="26.367895419543377"/>
    <s v="Tidal Caloosahatchee"/>
    <n v="1022.1"/>
    <n v="210959"/>
    <s v="N/A"/>
    <s v="County/ SFWMD"/>
    <s v="County - $78,500/ SFWMD - $102,071"/>
    <s v="N/A"/>
    <s v="4600001404/ 4600002055"/>
    <n v="26.528694999999999"/>
    <n v="-81.924712999999997"/>
    <s v="N/A"/>
    <m/>
    <s v="Structural"/>
    <s v="Completed"/>
    <n v="2012"/>
    <n v="1404.774424"/>
    <s v="N/A"/>
  </r>
  <r>
    <n v="2260"/>
    <s v="Lee County"/>
    <s v="DEP"/>
    <s v="LC-23"/>
    <s v="Popash Creek Restoration"/>
    <s v="Hydrologic restoration to more natural flow regime by increasing water storage on property and improving both onsite and off-site flows."/>
    <s v="Hydrologic Restoration"/>
    <x v="1"/>
    <s v="Prior to 2012"/>
    <s v="Prior to 2012"/>
    <n v="271.72196441304749"/>
    <n v="43.94309575370329"/>
    <s v="Tidal Caloosahatchee"/>
    <n v="3517"/>
    <n v="1726625"/>
    <n v="16920"/>
    <s v="County/ DEP"/>
    <s v="$1,726,625"/>
    <s v="LP6838"/>
    <s v="N/A"/>
    <n v="26.758918999999999"/>
    <n v="-81.805657999999994"/>
    <s v="N/A"/>
    <m/>
    <s v="Structural"/>
    <s v="Completed"/>
    <n v="2012"/>
    <n v="2991.892832"/>
    <s v="N/A"/>
  </r>
  <r>
    <n v="2261"/>
    <s v="Lee County"/>
    <s v="City of Fort Myers"/>
    <s v="LC-24"/>
    <s v="Billy's Creek Wetland"/>
    <s v="Billy Creek Filter Marsh Park."/>
    <s v="Constructed Wetland Treatment"/>
    <x v="1"/>
    <s v="Prior to 2012"/>
    <s v="Prior to 2012"/>
    <n v="948"/>
    <n v="807"/>
    <s v="Tidal Caloosahatchee"/>
    <n v="1632"/>
    <n v="2500000"/>
    <s v="N/A"/>
    <s v="County/ City of Fort Myers"/>
    <s v="$2,500,000"/>
    <s v="N/A"/>
    <s v="N/A"/>
    <n v="26.662645000000001"/>
    <n v="-81.824427999999997"/>
    <s v="N/A"/>
    <m/>
    <s v="Structural"/>
    <s v="Completed"/>
    <n v="2012"/>
    <n v="1217.440928"/>
    <s v="N/A"/>
  </r>
  <r>
    <n v="2262"/>
    <s v="Lee County"/>
    <s v="DEP"/>
    <s v="LC-25"/>
    <s v="Caloosahatchee Creeks Preserve–West Restoration"/>
    <s v="Hydrologic restoration."/>
    <s v="Hydrologic Restoration"/>
    <x v="1"/>
    <s v="2015"/>
    <s v="2016"/>
    <n v="16185.209262199154"/>
    <n v="1368.2592402740279"/>
    <s v="Tidal Caloosahatchee"/>
    <n v="1295"/>
    <n v="250000"/>
    <s v="N/A"/>
    <s v="County/ DEP"/>
    <s v="$250,000"/>
    <s v="S0849"/>
    <s v="N/A"/>
    <n v="26.703014"/>
    <n v="-81.809533999999999"/>
    <s v="N/A"/>
    <m/>
    <s v="Structural"/>
    <s v="Future"/>
    <n v="2015"/>
    <n v="49.895119999999999"/>
    <s v="N/A"/>
  </r>
  <r>
    <n v="2263"/>
    <s v="Lee County"/>
    <s v="DEP"/>
    <s v="LC-26"/>
    <s v="Yellow Fever Creek – Gator Slough Transfer Facility"/>
    <s v="Return historical flow from Gator Slough Canal system to Yellow Fever Creek. There are 114 acres in the BMAP being treated by this project, there are additional areas being treated outside of the BMAP boundary."/>
    <s v="Hydrologic Restoration"/>
    <x v="0"/>
    <s v="2021"/>
    <s v="2021"/>
    <n v="102.5"/>
    <n v="118.4"/>
    <s v="Tidal Caloosahatchee"/>
    <n v="114"/>
    <s v="TBD"/>
    <s v="TBD"/>
    <s v="County/ DEP"/>
    <s v="County - $175,000/ DEP - 817,000"/>
    <s v="S0840/ LPQ0012"/>
    <s v="N/A"/>
    <n v="26.713912000000001"/>
    <n v="-81.933902000000003"/>
    <s v="N/A"/>
    <m/>
    <s v="Structural"/>
    <s v="Future"/>
    <n v="2015"/>
    <s v="TBD"/>
    <s v="N/A"/>
  </r>
  <r>
    <n v="2274"/>
    <s v="Lee County"/>
    <s v="DEP"/>
    <s v="LC-27"/>
    <s v="Prairie Pines Preserve Restoration"/>
    <s v="Restoration of historical flows and enhancement and restoration of wetlands."/>
    <s v="Hydrologic Restoration"/>
    <x v="1"/>
    <s v="2018"/>
    <s v="2018"/>
    <n v="10356.13080315934"/>
    <n v="837.46594792145606"/>
    <s v="Tidal Caloosahatchee"/>
    <n v="2334"/>
    <n v="600000"/>
    <n v="28295"/>
    <s v="County/ DEP"/>
    <s v="DEP - $300,000"/>
    <s v="S0895"/>
    <s v="N/A"/>
    <n v="26.732617000000001"/>
    <n v="-81.909439000000006"/>
    <s v="N/A"/>
    <m/>
    <s v="Structural"/>
    <s v="Construction in 2017"/>
    <n v="2016"/>
    <s v="TBD"/>
    <s v="N/A"/>
  </r>
  <r>
    <n v="2265"/>
    <s v="Lee County"/>
    <s v="N/A"/>
    <s v="LC-28"/>
    <s v="BMAP Plan Development – Basin Study"/>
    <s v="Basin study to identify pollutant sources and identify further actions to reach reduction goals."/>
    <s v="Study"/>
    <x v="1"/>
    <s v="2016"/>
    <s v="2017"/>
    <s v="N/A"/>
    <s v="N/A"/>
    <s v="Tidal Caloosahatchee"/>
    <s v="N/A"/>
    <n v="195831"/>
    <s v="N/A"/>
    <s v="County"/>
    <s v="County - $195,831"/>
    <s v="N/A"/>
    <s v="N/A"/>
    <n v="26.652749"/>
    <n v="-81.776875000000004"/>
    <s v="N/A"/>
    <m/>
    <s v="Non-structural"/>
    <m/>
    <n v="2016"/>
    <s v="N/A"/>
    <s v="N/A"/>
  </r>
  <r>
    <n v="2257"/>
    <s v="Lee County"/>
    <s v="N/A"/>
    <s v="LC-29"/>
    <s v="Caloosahatchee River-North Fort Myers Nutrient and Bacteria Source Identification Study"/>
    <s v="Watershed study to investigate interactions between onsite sewage treatment and disposal systems (OSTDS), groundwater, and surface water in Caloosahatchee Estuary."/>
    <s v="Study"/>
    <x v="1"/>
    <s v="2017"/>
    <s v="2020"/>
    <s v="N/A"/>
    <s v="N/A"/>
    <s v="Tidal Caloosahatchee"/>
    <s v="N/A"/>
    <n v="181352"/>
    <s v="N/A"/>
    <s v="County/ DEP"/>
    <s v="DEP - $89,964"/>
    <s v="NF047"/>
    <s v="N/A"/>
    <n v="26.652749"/>
    <n v="-81.776875000000004"/>
    <s v="N/A"/>
    <m/>
    <s v="Non-structural"/>
    <m/>
    <n v="2016"/>
    <s v="N/A"/>
    <s v="N/A"/>
  </r>
  <r>
    <m/>
    <s v="LA-MSID (formerly ECWCD)"/>
    <s v="Not provided"/>
    <s v="LA-14"/>
    <s v="CREST"/>
    <s v="Construct STA."/>
    <s v="Stormwater Treatment Areas (STAs)"/>
    <x v="3"/>
    <s v="2021"/>
    <s v="2025"/>
    <n v="14256.496394166274"/>
    <n v="2731.8752497075889"/>
    <s v="West Caloosahatchee"/>
    <n v="12904.120330021264"/>
    <n v="5000000"/>
    <s v="Not provided"/>
    <s v="TBD"/>
    <s v="Not provided"/>
    <s v="TBD"/>
    <s v="Not provided"/>
    <n v="26.644829999999999"/>
    <n v="-81.522099999999995"/>
    <s v="N/A"/>
    <s v="TBD"/>
    <s v="Structural"/>
    <m/>
    <n v="2020"/>
    <s v="N/A"/>
    <s v="N/A"/>
  </r>
  <r>
    <n v="2267"/>
    <s v="Lee County"/>
    <s v="N/A"/>
    <s v="LC-30"/>
    <s v="Waterway Estates Wastewater Treatment Facility (WWTF) Closure"/>
    <s v="Closure of facility with direct discharge to Caloosahatchee."/>
    <s v="WWTF Diversion to Reuse"/>
    <x v="1"/>
    <s v="2012"/>
    <s v="2012"/>
    <n v="295.03018879108532"/>
    <s v="TBD"/>
    <s v="Tidal Caloosahatchee"/>
    <s v="N/A"/>
    <n v="61565"/>
    <s v="N/A"/>
    <s v="County"/>
    <s v="County - $61,565"/>
    <s v="N/A"/>
    <s v="N/A"/>
    <n v="26.6393111"/>
    <n v="-81.908910359999993"/>
    <s v="N/A"/>
    <m/>
    <s v="Structural"/>
    <m/>
    <n v="2017"/>
    <n v="139.25274400000001"/>
    <s v="N/A"/>
  </r>
  <r>
    <n v="2357"/>
    <s v="Lee County"/>
    <s v="SFWMD/ FDOT"/>
    <s v="LC-31"/>
    <s v="Six Mile Cypress Preserve North Hydrologic Restoration"/>
    <s v="Wetland creation, addition of control structures, berms, berm breaches to connect natural and created wetlands, and restoration of historical hydrologic conditions to reduce discharge into Caloosahatchee River."/>
    <s v="Hydrologic Restoration"/>
    <x v="1"/>
    <s v="2013"/>
    <s v="2013"/>
    <n v="724.60603567228372"/>
    <n v="194.35260335405403"/>
    <s v="Tidal Caloosahatchee"/>
    <n v="1874"/>
    <n v="2060768"/>
    <n v="70260"/>
    <s v="County/ SFWMD/ FDOT"/>
    <s v="County - $1,493,268/ SFWMD - $450,000/ FDOT - $117,500"/>
    <s v="N/A"/>
    <n v="4600002716"/>
    <n v="26.638532000000001"/>
    <n v="-81.778206999999995"/>
    <s v="N/A"/>
    <m/>
    <s v="Structural"/>
    <m/>
    <n v="2017"/>
    <s v="TBD"/>
    <s v="TBD"/>
  </r>
  <r>
    <n v="2356"/>
    <s v="Lee County"/>
    <s v="DEP/ SFWMD"/>
    <s v="LC-32"/>
    <s v="Bob Jane's Preserve Environmental Restoration"/>
    <s v="Hydrologic improvements in portion of preserve via berms, beaches, and ditch blocks."/>
    <s v="Hydrologic Restoration"/>
    <x v="1"/>
    <s v="Not provided"/>
    <s v="2017"/>
    <n v="1216.3985676407892"/>
    <n v="118.72308819208398"/>
    <s v="Tidal Caloosahatchee; West Caloosahatchee"/>
    <s v="N/A"/>
    <n v="200000"/>
    <s v="N/A"/>
    <s v="County/ DEP/ SFWMD"/>
    <s v="$100,000"/>
    <s v="S0871"/>
    <s v="N/A"/>
    <n v="26.754301999999999"/>
    <n v="-81.655325000000005"/>
    <s v="N/A"/>
    <m/>
    <s v="Structural"/>
    <m/>
    <n v="2017"/>
    <s v="TBD"/>
    <s v="N/A"/>
  </r>
  <r>
    <m/>
    <s v="City of LaBelle"/>
    <s v="DEP"/>
    <s v="LB-01"/>
    <s v="City of LaBelle Zone J Septic Tank to Central Sewer"/>
    <s v="Septic tank conversion project that will consist of a pump station, force main and gravity sewer to provide an estimated 55 customers (area buildout) with sanitary sewer."/>
    <s v="Wastewater Service Area Expansion"/>
    <x v="3"/>
    <s v="2019"/>
    <s v="2021"/>
    <n v="242.84366899670178"/>
    <s v="N/A"/>
    <s v="Caloosahatchee BMAP"/>
    <n v="22"/>
    <n v="908000"/>
    <s v="TBD"/>
    <s v="DEP/ City"/>
    <s v="$908,000"/>
    <s v="LPQ 0002"/>
    <s v="N/A"/>
    <n v="26.766285"/>
    <n v="-81.443199000000007"/>
    <s v="N/A"/>
    <s v="N/A"/>
    <s v="Structural"/>
    <m/>
    <n v="2020"/>
    <s v="N/A"/>
    <s v="N/A"/>
  </r>
  <r>
    <n v="2239"/>
    <s v="Lee County"/>
    <s v="DEP"/>
    <s v="LC-33"/>
    <s v="Telegraph Creek Preserve"/>
    <s v="Ditch blocks and native plantings in conveyances."/>
    <s v="Hydrologic Restoration"/>
    <x v="1"/>
    <s v="2016"/>
    <s v="2017"/>
    <n v="421.09349076693036"/>
    <n v="43.785945723380522"/>
    <s v="Tidal Caloosahatchee"/>
    <s v="N/A"/>
    <n v="107337"/>
    <n v="54639"/>
    <s v="County/ DEP"/>
    <s v="$125,000"/>
    <s v="S0873"/>
    <s v="N/A"/>
    <n v="26.744064000000002"/>
    <n v="-81.696723000000006"/>
    <s v="N/A"/>
    <m/>
    <s v="Structural"/>
    <m/>
    <n v="2017"/>
    <s v="TBD"/>
    <s v="N/A"/>
  </r>
  <r>
    <n v="2238"/>
    <s v="Lee County"/>
    <s v="LA-MSID/ FDOT"/>
    <s v="LC-34"/>
    <s v="West Harnes Marsh"/>
    <s v="Creation and enhancement of wetland marsh ecosystem, including hydraulic connection for water quality improvement and stormwater attenuation."/>
    <s v="Constructed Wetland Treatment"/>
    <x v="3"/>
    <s v="2018"/>
    <s v="2021"/>
    <s v="TBD"/>
    <s v="TBD"/>
    <s v="Tidal Caloosahatchee"/>
    <s v="TBD"/>
    <s v="TBD"/>
    <s v="TBD"/>
    <s v="County/ LA-MSID"/>
    <s v="N/A"/>
    <s v="N/A"/>
    <s v="N/A"/>
    <n v="26.647427"/>
    <n v="-81.705286999999998"/>
    <s v="N/A"/>
    <m/>
    <s v="Structural"/>
    <m/>
    <n v="2017"/>
    <s v="TBD"/>
    <s v="N/A"/>
  </r>
  <r>
    <n v="2243"/>
    <s v="Lee County"/>
    <s v="DEP/ SFWMD"/>
    <s v="LC-35"/>
    <s v="C-43 Water Quality Treatment and Testing Facility Project (*study/land acquisition)"/>
    <s v="Project to demonstrate and implement cost-effective, wetland-based strategies for reduction of dissolved organic nitrogen (DON)."/>
    <s v="Study"/>
    <x v="3"/>
    <s v="2015"/>
    <s v="TBD"/>
    <s v="N/A"/>
    <s v="N/A"/>
    <s v="Tidal Caloosahatchee"/>
    <s v="N/A"/>
    <n v="10000000"/>
    <s v="N/A"/>
    <s v="County/ DEP/ SFWMD"/>
    <s v="N/A"/>
    <s v="N/A"/>
    <s v="N/A"/>
    <n v="26.700686000000001"/>
    <n v="-81.529159000000007"/>
    <s v="N/A"/>
    <m/>
    <s v="Non-structural"/>
    <m/>
    <n v="2017"/>
    <s v="N/A"/>
    <s v="N/A"/>
  </r>
  <r>
    <n v="2255"/>
    <s v="Lee County"/>
    <s v="DEP/ SFWMD"/>
    <s v="LC-36"/>
    <s v="Fichter's Creek Restoration Project"/>
    <s v="Restoration of hydroperiod and water quality in Fichter's Creek."/>
    <s v="Hydrologic Restoration"/>
    <x v="1"/>
    <s v="2018"/>
    <s v="2018"/>
    <n v="1218.4432883749002"/>
    <n v="114.40798681264"/>
    <s v="West Caloosahatchee"/>
    <n v="4781"/>
    <n v="2000000"/>
    <n v="35000"/>
    <s v="County/ DEP/ SFWMD"/>
    <s v="DEP - $450,000/ SFWMD - $300,000"/>
    <s v="S0893"/>
    <n v="4600003525"/>
    <n v="26.73001"/>
    <n v="-81.662021999999993"/>
    <s v="N/A"/>
    <m/>
    <s v="Structural"/>
    <m/>
    <n v="2017"/>
    <n v="659.06917599999997"/>
    <s v="N/A"/>
  </r>
  <r>
    <n v="2292"/>
    <s v="Lee County"/>
    <s v="DEP"/>
    <s v="LC-37"/>
    <s v="Spanish Creek at Daniel's Preserve Restoration"/>
    <s v="Restoration of wetland hydroperiod and sheet flow attenuation."/>
    <s v="Hydrologic Restoration"/>
    <x v="1"/>
    <s v="2014"/>
    <s v="2014"/>
    <n v="828.91361983327317"/>
    <n v="46.256859367211256"/>
    <s v="West Caloosahatchee"/>
    <n v="4030.6556338808919"/>
    <n v="400000"/>
    <n v="3000"/>
    <s v="County/ DEP"/>
    <s v="DEP - $650,602/ SFWMD - $80,000"/>
    <s v="S0732"/>
    <n v="4600002828"/>
    <n v="26.733933"/>
    <n v="-81.604478"/>
    <s v="N/A"/>
    <m/>
    <s v="Structural"/>
    <m/>
    <n v="2017"/>
    <n v="50.802303999999999"/>
    <s v="N/A"/>
  </r>
  <r>
    <n v="2285"/>
    <s v="Lee County"/>
    <s v="N/A"/>
    <s v="LC-38"/>
    <s v="Deep Lagoon Pollutant Load Reduction Phase 2-Watershed Analysis Report"/>
    <s v="Basin study to identify pollutant sources and identify further actions to reach reduction goals."/>
    <s v="Study"/>
    <x v="1"/>
    <s v="2018"/>
    <s v="2018"/>
    <s v="N/A"/>
    <s v="N/A"/>
    <s v="Tidal Caloosahatchee"/>
    <s v="N/A"/>
    <n v="70000"/>
    <s v="N/A"/>
    <s v="County"/>
    <s v="N/A"/>
    <s v="N/A"/>
    <s v="N/A"/>
    <n v="26.519636999999999"/>
    <n v="-81.921543"/>
    <s v="N/A"/>
    <m/>
    <s v="Non-structural"/>
    <m/>
    <n v="2017"/>
    <s v="N/A"/>
    <s v="N/A"/>
  </r>
  <r>
    <n v="2276"/>
    <s v="Lee County"/>
    <s v="DEP"/>
    <s v="LC-39"/>
    <s v="North Fort Myers Florida Power and Light (FPL) Feasibility Study"/>
    <s v="Study to identify areas of high nutrient loads and potential BMPs to improve water quality and reduce flooding."/>
    <s v="Study"/>
    <x v="1"/>
    <s v="2018"/>
    <s v="2019"/>
    <s v="N/A"/>
    <s v="N/A"/>
    <s v="Tidal Caloosahatchee"/>
    <s v="N/A"/>
    <n v="200000"/>
    <s v="N/A"/>
    <s v="County/ DEP"/>
    <s v="DEP - $200,000"/>
    <s v="S0894"/>
    <s v="N/A"/>
    <n v="26.661567000000002"/>
    <n v="-81.892679999999999"/>
    <s v="N/A"/>
    <m/>
    <s v="Non-structural"/>
    <m/>
    <n v="2017"/>
    <s v="N/A"/>
    <s v="N/A"/>
  </r>
  <r>
    <n v="2340"/>
    <s v="Lee County"/>
    <s v="DEP"/>
    <s v="LC-40"/>
    <s v="Sunniland/Nine Mile Run Drainage Improvements"/>
    <s v="Replacement of failing water control structures (WCS) and reconnection of flow-ways to Hickory Swamp and Buckingham Trails Preserve."/>
    <s v="Hydrologic Restoration"/>
    <x v="0"/>
    <s v="2021"/>
    <s v="2021"/>
    <s v="TBD"/>
    <s v="TBD"/>
    <s v="Tidal Caloosahatchee"/>
    <s v="TBD"/>
    <n v="2000000"/>
    <s v="TBD"/>
    <s v="County/ DEP"/>
    <s v="$300,000"/>
    <s v="LP3602B"/>
    <s v="N/A"/>
    <n v="26.658217"/>
    <n v="-81.744166000000007"/>
    <s v="N/A"/>
    <m/>
    <s v="Structural"/>
    <m/>
    <n v="2017"/>
    <s v="TBD"/>
    <s v="N/A"/>
  </r>
  <r>
    <n v="2277"/>
    <s v="Lee County"/>
    <s v="City of Fort Myers"/>
    <s v="LC-41"/>
    <s v="Caloosahatchee Tributary Canal Rehabilitation: L-3"/>
    <s v="Reshaping canal banks, littoral planting, and possible addition of control structure(s)."/>
    <s v="Regional Stormwater Treatment"/>
    <x v="0"/>
    <s v="2021"/>
    <s v="2021"/>
    <n v="985.49522092318409"/>
    <n v="189.59088362849963"/>
    <s v="Tidal Caloosahatchee"/>
    <s v="TBD"/>
    <n v="500000"/>
    <s v="TBD"/>
    <s v="County/ City of Fort Myers/ DEP"/>
    <s v="DEP - $400,000"/>
    <s v="LPA0063"/>
    <s v="N/A"/>
    <n v="26.57583619"/>
    <n v="-81.875846039999999"/>
    <s v="N/A"/>
    <m/>
    <s v="Structural"/>
    <m/>
    <n v="2017"/>
    <s v="TBD"/>
    <s v="N/A"/>
  </r>
  <r>
    <n v="4369"/>
    <s v="Lee County"/>
    <s v="N/A"/>
    <s v="LC-42"/>
    <s v="Bob Janes Preserve Restoration Feasibility Study"/>
    <s v="Study to identify areas of high nutrient loads and potential BMPs to improve water quality, and restore historic hydrologic conditions."/>
    <s v="Study"/>
    <x v="1"/>
    <s v="2019"/>
    <s v="2020"/>
    <s v="N/A"/>
    <s v="N/A"/>
    <s v="Tidal Caloosahatchee; West Caloosahatchee"/>
    <s v="N/A"/>
    <n v="228285"/>
    <s v="N/A"/>
    <s v="County"/>
    <s v="County - $228,285"/>
    <s v="N/A"/>
    <s v="N/A"/>
    <n v="26.753018999999998"/>
    <n v="-81.648373000000007"/>
    <s v="N/A"/>
    <m/>
    <s v="Non-structural"/>
    <s v="Underway"/>
    <n v="2018"/>
    <s v="N/A"/>
    <s v="N/A"/>
  </r>
  <r>
    <n v="4370"/>
    <s v="Lee County"/>
    <s v="N/A"/>
    <s v="LC-43"/>
    <s v="GS-10"/>
    <s v="Land purchase and conversion to conservation land use."/>
    <s v="Land Use Change"/>
    <x v="1"/>
    <s v="2019"/>
    <s v="2019"/>
    <n v="15177.8380315002"/>
    <n v="10640.046788302505"/>
    <s v="Tidal Caloosahatchee; West Caloosahatchee"/>
    <s v="N/A"/>
    <n v="3870000"/>
    <s v="N/A"/>
    <s v="County"/>
    <s v="County - $3,870,000"/>
    <s v="N/A"/>
    <s v="N/A"/>
    <n v="26.66855657"/>
    <n v="-81.610188399999998"/>
    <s v="N/A"/>
    <m/>
    <s v="Non-structural"/>
    <s v="Completed"/>
    <n v="2018"/>
    <s v="N/A"/>
    <s v="N/A"/>
  </r>
  <r>
    <n v="4855"/>
    <s v="Lee County"/>
    <s v="DEP"/>
    <s v="LC-44"/>
    <s v="Powell Creek / Old Bridge Park Restoration"/>
    <s v="Filter marsh creation and BMPs."/>
    <s v="Constructed Wetland Treatment"/>
    <x v="0"/>
    <s v="2021"/>
    <s v="2022"/>
    <s v="TBD"/>
    <s v="TBD"/>
    <s v="Tidal Caloosahatchee"/>
    <s v="TBD"/>
    <n v="974000"/>
    <s v="TBD"/>
    <s v="DEP"/>
    <s v="DEP - $774,000"/>
    <s v="LPQ0011"/>
    <s v="N/A"/>
    <n v="26.69098357"/>
    <n v="-81.870855939999998"/>
    <s v="N/A"/>
    <m/>
    <s v="Structural"/>
    <s v="Underway"/>
    <n v="2019"/>
    <s v="N/A"/>
    <s v="N/A"/>
  </r>
  <r>
    <m/>
    <s v="City of LaBelle"/>
    <s v="DEP"/>
    <s v="LB-02"/>
    <s v="City of LaBelle Zone A Septic Tank to Central Sewer"/>
    <s v="Septic tank conversion project that will consist of a pump station, force main and gravity sewer to provide an estimated 496 customers (area buildout) with sanitary sewer."/>
    <s v="Wastewater Service Area Expansion"/>
    <x v="3"/>
    <s v="2019"/>
    <s v="2021"/>
    <n v="2222.0195713198209"/>
    <s v="N/A"/>
    <s v="Caloosahatchee BMAP"/>
    <n v="91"/>
    <n v="3128500"/>
    <s v="TBD"/>
    <s v="DEP/ City"/>
    <s v="$3,128,500"/>
    <s v="LPQ 0003"/>
    <s v="N/A"/>
    <n v="26.764019999999999"/>
    <n v="-81.434432000000001"/>
    <s v="N/A"/>
    <s v="N/A"/>
    <s v="Structural"/>
    <m/>
    <n v="2020"/>
    <s v="N/A"/>
    <s v="N/A"/>
  </r>
  <r>
    <m/>
    <s v="City of LaBelle"/>
    <s v="DEP"/>
    <s v="LB-03"/>
    <s v="City of LaBelle Zone B Septic Tank to Central Sewer"/>
    <s v="Septic tank conversion project that will consist of a pump station, force main and gravity sewer to provide an estimated 315 customers (area buildout) with sanitary sewer."/>
    <s v="Wastewater Service Area Expansion"/>
    <x v="0"/>
    <s v="2021"/>
    <s v="2022"/>
    <n v="1408.4932801808702"/>
    <s v="N/A"/>
    <s v="Caloosahatchee BMAP"/>
    <n v="110"/>
    <n v="3243000"/>
    <s v="TBD"/>
    <s v="DEP/ City"/>
    <s v="TBD"/>
    <s v="LPQ 0020"/>
    <s v="N/A"/>
    <n v="26.764330000000001"/>
    <n v="-81.428092000000007"/>
    <s v="N/A"/>
    <s v="N/A"/>
    <s v="Structural"/>
    <m/>
    <n v="2020"/>
    <s v="N/A"/>
    <s v="N/A"/>
  </r>
  <r>
    <n v="4856"/>
    <s v="Lee County"/>
    <s v="DEP"/>
    <s v="LC-45"/>
    <s v="Deep Lagoon Preserve Water Quality Improvement Project"/>
    <s v="Retention ponds, channel/ditch modifications, ditch blocks and pumped solutions."/>
    <s v="BMP Treatment Train"/>
    <x v="0"/>
    <s v="2022"/>
    <s v="2022"/>
    <s v="TBD"/>
    <s v="TBD"/>
    <s v="Tidal Caloosahatchee"/>
    <s v="TBD"/>
    <n v="3000000"/>
    <s v="TBD"/>
    <s v="TBD"/>
    <s v="TBD"/>
    <s v="TBD"/>
    <s v="N/A"/>
    <n v="26.527458540000001"/>
    <n v="-81.921743059999997"/>
    <s v="N/A"/>
    <m/>
    <s v="Structural"/>
    <s v="Underway"/>
    <n v="2019"/>
    <s v="N/A"/>
    <s v="N/A"/>
  </r>
  <r>
    <n v="4857"/>
    <s v="Lee County"/>
    <s v="N/A"/>
    <s v="LC-46"/>
    <s v="Olga Shores Preserve Hydrological Restoration"/>
    <s v="Filter marsh creation. Best Management Practices (BMPs)."/>
    <s v="Hydrologic Restoration"/>
    <x v="0"/>
    <s v="TBD"/>
    <s v="TBD"/>
    <s v="TBD"/>
    <s v="TBD"/>
    <s v="Tidal Caloosahatchee"/>
    <s v="N/A"/>
    <s v="TBD"/>
    <s v="N/A"/>
    <s v="N/A"/>
    <s v="N/A"/>
    <s v="N/A"/>
    <s v="N/A"/>
    <n v="26.721743379999999"/>
    <n v="-81.709103569999996"/>
    <s v="N/A"/>
    <m/>
    <s v="Structural"/>
    <s v="Underway"/>
    <n v="2019"/>
    <s v="N/A"/>
    <s v="N/A"/>
  </r>
  <r>
    <n v="2278"/>
    <s v="Lucaya CDD"/>
    <s v="N/A"/>
    <s v="LU-01"/>
    <s v="Education/ Fertilizer"/>
    <s v="Education."/>
    <s v="Education Efforts"/>
    <x v="2"/>
    <s v="Not provided"/>
    <s v="N/A"/>
    <n v="1.7503417507097307"/>
    <n v="0.42032141240466742"/>
    <s v="Tidal Caloosahatchee"/>
    <s v="N/A"/>
    <s v="Not provided"/>
    <s v="Not provided"/>
    <s v="Not provided"/>
    <s v="Not provided"/>
    <s v="N/A"/>
    <s v="Not provided"/>
    <n v="26.314312000000001"/>
    <n v="-81.553030000000007"/>
    <s v="N/A"/>
    <m/>
    <s v="Non-structural"/>
    <s v="Completed"/>
    <n v="2012"/>
    <s v="Not provided"/>
    <s v="N/A"/>
  </r>
  <r>
    <n v="2279"/>
    <s v="Lucaya CDD"/>
    <s v="N/A"/>
    <s v="LU-02"/>
    <s v="Education/ Pet Waste"/>
    <s v="Education."/>
    <s v="Education Efforts"/>
    <x v="2"/>
    <s v="Not provided"/>
    <s v="N/A"/>
    <n v="1.7503417507097307"/>
    <n v="0.42032141240466742"/>
    <s v="Tidal Caloosahatchee"/>
    <s v="N/A"/>
    <s v="Not provided"/>
    <s v="Not provided"/>
    <s v="Not provided"/>
    <s v="Not provided"/>
    <s v="N/A"/>
    <s v="Not provided"/>
    <n v="26.314312000000001"/>
    <n v="-81.553030000000007"/>
    <s v="N/A"/>
    <m/>
    <s v="Non-structural"/>
    <s v="Completed"/>
    <n v="2012"/>
    <s v="Not provided"/>
    <s v="N/A"/>
  </r>
  <r>
    <n v="5218"/>
    <s v="City of Moore Haven"/>
    <s v="Glades County"/>
    <s v="MH-01"/>
    <s v="Glades County Caloosahatchee River and Estuary Area Wastewater Grant"/>
    <s v="Elimination of aging and/or failing existing septic systems in City of Moore Haven. Project also provides for additional conveyance capacity for additional homes and businesses."/>
    <s v="OSTDS Phase Out"/>
    <x v="0"/>
    <s v="Not provided"/>
    <s v="2021"/>
    <n v="1252.7"/>
    <s v="N/A"/>
    <s v="East Caloosahatchee"/>
    <n v="86.5"/>
    <n v="994420"/>
    <s v="N/A"/>
    <s v="DEP"/>
    <s v="DEP - $891,848"/>
    <s v="LP22023"/>
    <s v="N/A"/>
    <s v="Not provided"/>
    <s v="Not provided"/>
    <s v="DEP/ City"/>
    <m/>
    <s v="Structural"/>
    <m/>
    <n v="2019"/>
    <s v="Not provided"/>
    <s v="Not provided"/>
  </r>
  <r>
    <n v="5230"/>
    <s v="Lee County"/>
    <s v="N/A"/>
    <s v="LC-47"/>
    <s v="Microbial Source Tracking in Lee County Waterways"/>
    <s v="Watershed study to investigate interactions between OSTDS and surface water in the Caloosahatchee Estuary."/>
    <s v="Study"/>
    <x v="0"/>
    <s v="2021"/>
    <s v="2021"/>
    <s v="N/A"/>
    <s v="N/A"/>
    <s v="Tidal Caloosahatchee"/>
    <s v="N/A"/>
    <n v="645000"/>
    <s v="N/A"/>
    <s v="County"/>
    <s v="N/A"/>
    <s v="N/A"/>
    <s v="N/A"/>
    <s v="N/A"/>
    <s v="N/A"/>
    <s v="N/A"/>
    <m/>
    <s v="Non-structural"/>
    <m/>
    <n v="2019"/>
    <s v="N/A"/>
    <s v="N/A"/>
  </r>
  <r>
    <m/>
    <s v="Lee County"/>
    <s v="N/A"/>
    <s v="LC-48"/>
    <s v="Olga Shores Preserve"/>
    <s v="Land purchase and conversion to conservation land use."/>
    <s v="Land Use Change"/>
    <x v="1"/>
    <s v="2017"/>
    <s v="2017"/>
    <n v="1.7304584191971344"/>
    <n v="0.26411505700228588"/>
    <s v="Tidal Caloosahatchee"/>
    <n v="91.726565258633642"/>
    <n v="2659059"/>
    <s v="TBD"/>
    <s v="County"/>
    <s v="County - $2,659,059"/>
    <s v="N/A"/>
    <s v="N/A"/>
    <n v="26.720963999999999"/>
    <n v="-81.708499000000003"/>
    <s v="N/A"/>
    <m/>
    <s v="Non-structural"/>
    <m/>
    <n v="2020"/>
    <s v="N/A"/>
    <s v="N/A"/>
  </r>
  <r>
    <n v="5219"/>
    <s v="Portico CDD"/>
    <s v="N/A"/>
    <s v="PORT-01"/>
    <s v="Education/Fertilizer"/>
    <s v="FYN; landscape, irrigation, and fertilizer ordinances; pamphlets, PSAs, website, illicit discharge program; WETPLAN."/>
    <s v="Education Efforts"/>
    <x v="2"/>
    <s v="Not provided"/>
    <s v="N/A"/>
    <n v="66.242142460780002"/>
    <n v="7.6119449637880008"/>
    <s v="West Caloosahatchee"/>
    <n v="250.7"/>
    <s v="Not provided"/>
    <s v="Not provided"/>
    <s v="Not provided"/>
    <s v="Not provided"/>
    <s v="N/A"/>
    <s v="Not provided"/>
    <s v="Not provided"/>
    <s v="Not provided"/>
    <s v="N/A"/>
    <m/>
    <s v="Non-structural"/>
    <m/>
    <n v="2019"/>
    <s v="Not provided"/>
    <s v="Not provided"/>
  </r>
  <r>
    <n v="5220"/>
    <s v="Portico CDD"/>
    <s v="N/A"/>
    <s v="PORT-02"/>
    <s v="Control Structures"/>
    <s v="CS-A1 is a Modified Type H Inlet, CS-A2 is a Modified Type E Inlet, CS-B1 is a Modified Type C Inlet."/>
    <s v="Control Structure"/>
    <x v="1"/>
    <s v="Not provided"/>
    <s v="2007"/>
    <s v="TBD"/>
    <s v="TBD"/>
    <s v="West Caloosahatchee"/>
    <s v="N/A"/>
    <s v="Not provided"/>
    <s v="Not provided"/>
    <s v="Not provided"/>
    <s v="Not provided"/>
    <s v="N/A"/>
    <s v="Not provided"/>
    <n v="26.689083159999999"/>
    <n v="-81.703337520000005"/>
    <s v="N/A"/>
    <m/>
    <s v="Structural"/>
    <m/>
    <n v="2019"/>
    <s v="Not provided"/>
    <s v="Not provided"/>
  </r>
  <r>
    <n v="5221"/>
    <s v="Portico CDD"/>
    <s v="N/A"/>
    <s v="PORT-03"/>
    <s v="Conservation Lands"/>
    <s v="Conversion of agricultural lands to natural conservation lands."/>
    <s v="Land Use Change"/>
    <x v="1"/>
    <s v="Not provided"/>
    <s v="2019"/>
    <s v="TBD"/>
    <s v="TBD"/>
    <s v="West Caloosahatchee"/>
    <s v="N/A"/>
    <s v="Not provided"/>
    <s v="Not provided"/>
    <s v="Not provided"/>
    <s v="Not provided"/>
    <s v="N/A"/>
    <s v="Not provided"/>
    <n v="26.697928000000001"/>
    <n v="-81.726794999999996"/>
    <s v="N/A"/>
    <m/>
    <s v="Non-structural"/>
    <m/>
    <n v="2019"/>
    <s v="Not provided"/>
    <s v="Not provided"/>
  </r>
  <r>
    <n v="5222"/>
    <s v="Portico CDD"/>
    <s v="N/A"/>
    <s v="PORT-04"/>
    <s v="Stormwater Aeration System"/>
    <s v="Aeration systems on surface water management ponds A1, A2, A3, A4, A5, A9, A10, B1, and B2."/>
    <s v="Stormwater Aeration System"/>
    <x v="1"/>
    <s v="Not provided"/>
    <s v="2017"/>
    <s v="TBD"/>
    <s v="TBD"/>
    <s v="West Caloosahatchee"/>
    <s v="N/A"/>
    <s v="Not provided"/>
    <s v="Not provided"/>
    <s v="Not provided"/>
    <s v="Not provided"/>
    <s v="N/A"/>
    <s v="Not provided"/>
    <n v="26.697928000000001"/>
    <n v="-81.726794999999996"/>
    <s v="N/A"/>
    <m/>
    <s v="Structural"/>
    <m/>
    <n v="2019"/>
    <s v="Not provided"/>
    <s v="Not provided"/>
  </r>
  <r>
    <n v="5223"/>
    <s v="Sugarland Drainage District"/>
    <s v="DEP/ FDACS"/>
    <s v="SD-01"/>
    <s v="Public Education and Outreach"/>
    <s v="Updates on BMAP and requirements during annual landowner meetings."/>
    <s v="Education Efforts"/>
    <x v="0"/>
    <s v="2020"/>
    <s v="N/A"/>
    <s v="N/A"/>
    <s v="N/A"/>
    <s v="East Caloosahatchee"/>
    <s v="N/A"/>
    <n v="500"/>
    <s v="N/A"/>
    <s v="Sugarland Drainage District"/>
    <s v="$500"/>
    <s v="N/A"/>
    <s v="N/A"/>
    <n v="26.730143999999999"/>
    <n v="-80.964206000000004"/>
    <s v="N/A"/>
    <m/>
    <s v="Non-structural"/>
    <m/>
    <n v="2019"/>
    <s v="Not provided"/>
    <s v="Not provided"/>
  </r>
  <r>
    <n v="5224"/>
    <s v="Sugarland Drainage District"/>
    <s v="FDACS"/>
    <s v="SD-02"/>
    <s v="FDACS BMP Assistance"/>
    <s v="Provide assistance to FDACS, as needed, to encourage landowners to enroll in BMPs."/>
    <s v="Agricultural BMPs"/>
    <x v="0"/>
    <s v="2020"/>
    <s v="N/A"/>
    <s v="N/A"/>
    <s v="N/A"/>
    <s v="East Caloosahatchee"/>
    <s v="N/A"/>
    <n v="1000"/>
    <s v="N/A"/>
    <s v="Sugarland Drainage District"/>
    <s v="$1,000"/>
    <s v="N/A"/>
    <s v="N/A"/>
    <n v="26.730143999999999"/>
    <n v="-80.964206000000004"/>
    <s v="N/A"/>
    <m/>
    <s v="Non-structural"/>
    <m/>
    <n v="2019"/>
    <s v="Not provided"/>
    <s v="Not provided"/>
  </r>
  <r>
    <n v="5225"/>
    <s v="Sugarland Drainage District"/>
    <s v="N/A"/>
    <s v="SD-03"/>
    <s v="Nutrient Controls"/>
    <s v="No application of fertilizer in district's rights-of-way."/>
    <s v="Fertilizer Cessation"/>
    <x v="1"/>
    <s v="2020"/>
    <s v="2020"/>
    <s v="N/A"/>
    <s v="N/A"/>
    <s v="East Caloosahatchee"/>
    <s v="N/A"/>
    <n v="0"/>
    <s v="N/A"/>
    <s v="Sugarland Drainage District"/>
    <s v="N/A"/>
    <s v="N/A"/>
    <s v="N/A"/>
    <n v="26.753411"/>
    <s v="-80.9854.89"/>
    <s v="N/A"/>
    <m/>
    <s v="Non-structural"/>
    <m/>
    <n v="2019"/>
    <s v="Not provided"/>
    <s v="Not provided"/>
  </r>
  <r>
    <n v="5226"/>
    <s v="Sugarland Drainage District"/>
    <s v="N/A"/>
    <s v="SD-04"/>
    <s v="Slow Velocity in the Main Canal"/>
    <s v="Minimize sediment transport by slowing velocity in main canal near main discharge structure."/>
    <s v="Control Structure"/>
    <x v="0"/>
    <s v="2021"/>
    <s v="TBD"/>
    <s v="N/A"/>
    <s v="N/A"/>
    <s v="East Caloosahatchee"/>
    <s v="N/A"/>
    <n v="4500"/>
    <s v="N/A"/>
    <s v="Sugarland Drainage District"/>
    <s v="$4,500"/>
    <s v="N/A"/>
    <s v="N/A"/>
    <n v="26.753411"/>
    <s v="-80.9854.89"/>
    <s v="N/A"/>
    <m/>
    <s v="Structural"/>
    <m/>
    <n v="2019"/>
    <s v="Not provided"/>
    <s v="Not provided"/>
  </r>
  <r>
    <n v="5227"/>
    <s v="Sugarland Drainage District"/>
    <s v="N/A"/>
    <s v="SD-05"/>
    <s v="Control Structures"/>
    <s v="Annual maintenance of water control structures."/>
    <s v="Control Structure"/>
    <x v="2"/>
    <s v="2021"/>
    <s v="N/A"/>
    <s v="N/A"/>
    <s v="N/A"/>
    <s v="East Caloosahatchee"/>
    <s v="N/A"/>
    <n v="2500"/>
    <s v="N/A"/>
    <s v="Sugarland Drainage District"/>
    <s v="$2,500"/>
    <s v="N/A"/>
    <s v="N/A"/>
    <n v="26.765592000000002"/>
    <n v="-80.959603000000001"/>
    <s v="N/A"/>
    <m/>
    <s v="Structural"/>
    <m/>
    <n v="2019"/>
    <s v="Not provided"/>
    <s v="Not provided"/>
  </r>
  <r>
    <n v="5228"/>
    <s v="Verandah East CDD"/>
    <s v="N/A"/>
    <s v="VE-01"/>
    <s v="Education/Fertilizer"/>
    <s v="FYN; landscape, irrigation, and fertilizer ordinances; pamphlets, PSAs, website, illicit discharge program; WETPLAN."/>
    <s v="Education Efforts"/>
    <x v="2"/>
    <s v="Not provided"/>
    <s v="N/A"/>
    <n v="116.54315594848701"/>
    <n v="15.051627967223292"/>
    <s v="Tidal Caloosahatchee"/>
    <n v="452"/>
    <s v="Not provided"/>
    <s v="Not provided"/>
    <s v="Not provided"/>
    <s v="Not provided"/>
    <s v="N/A"/>
    <s v="Not provided"/>
    <s v="Not provided"/>
    <s v="Not provided"/>
    <s v="N/A"/>
    <m/>
    <s v="Non-structural"/>
    <m/>
    <n v="2019"/>
    <s v="Not provided"/>
    <s v="Not provided"/>
  </r>
  <r>
    <n v="5229"/>
    <s v="Verandah West CDD"/>
    <s v="N/A"/>
    <s v="VW-01"/>
    <s v="Education/Fertilizer"/>
    <s v="FYN; landscape, irrigation, and fertilizer ordinances; pamphlets, PSAs, website, illicit discharge program; WETPLAN."/>
    <s v="Education Efforts"/>
    <x v="2"/>
    <s v="Not provided"/>
    <s v="N/A"/>
    <n v="180.34872436642615"/>
    <n v="29.137580185064948"/>
    <s v="Tidal Caloosahatchee"/>
    <n v="488.8"/>
    <s v="Not provided"/>
    <s v="Not provided"/>
    <s v="Not provided"/>
    <s v="Not provided"/>
    <s v="N/A"/>
    <s v="Not provided"/>
    <s v="Not provided"/>
    <s v="Not provided"/>
    <s v="N/A"/>
    <m/>
    <s v="Non-structural"/>
    <m/>
    <n v="2019"/>
    <s v="Not provided"/>
    <s v="Not provided"/>
  </r>
  <r>
    <m/>
    <s v="Lee County"/>
    <s v="N/A"/>
    <s v="LC-49"/>
    <s v="Four Mile Cove"/>
    <s v="Land purchase and conversion to conservation land use."/>
    <s v="Land Use Change"/>
    <x v="1"/>
    <s v="2020"/>
    <s v="2020"/>
    <n v="23.638535674686636"/>
    <n v="5.5515007653417783"/>
    <s v="Tidal Caloosahatchee"/>
    <n v="179.46269003342599"/>
    <n v="6050000"/>
    <s v="TBD"/>
    <s v="County"/>
    <s v="N/A"/>
    <s v="N/A"/>
    <s v="N/A"/>
    <n v="26.619613999999999"/>
    <n v="-81.923428000000001"/>
    <s v="N/A"/>
    <m/>
    <s v="Non-structural"/>
    <m/>
    <n v="2020"/>
    <s v="N/A"/>
    <s v="N/A"/>
  </r>
  <r>
    <m/>
    <s v="Lee County"/>
    <s v="N/A"/>
    <s v="LC-50"/>
    <s v="Alva Scrub Preserve"/>
    <s v="Land purchase and conversion to conservation land use."/>
    <s v="Land Use Change"/>
    <x v="1"/>
    <s v="2000"/>
    <s v="2019"/>
    <n v="1909.6228435501757"/>
    <n v="163.71207505076345"/>
    <s v="West Caloosahatchee"/>
    <n v="1175.8469408968199"/>
    <n v="16847808.5"/>
    <s v="TBD"/>
    <s v="County"/>
    <s v="N/A"/>
    <s v="N/A"/>
    <s v="N/A"/>
    <n v="26.692741000000002"/>
    <n v="-81.616339999999994"/>
    <s v="N/A"/>
    <m/>
    <s v="Non-structural"/>
    <m/>
    <n v="2020"/>
    <s v="N/A"/>
    <s v="N/A"/>
  </r>
  <r>
    <m/>
    <s v="Lee County"/>
    <s v="N/A"/>
    <s v="LC-51"/>
    <s v="Master Wastewater Treatment Feasibility Analysis"/>
    <s v="Study to support the development of a County-wide Septic Conversion Master Plan (SCMP)."/>
    <s v="Study"/>
    <x v="0"/>
    <s v="2021"/>
    <s v="2023"/>
    <s v="N/A"/>
    <s v="N/A"/>
    <s v="Tidal Caloosahatchee"/>
    <s v="N/A"/>
    <s v="TBD"/>
    <s v="N/A"/>
    <s v="County"/>
    <s v="TBD"/>
    <s v="TBD"/>
    <s v="N/A"/>
    <s v="N/A"/>
    <s v="N/A"/>
    <s v="Unknown"/>
    <m/>
    <s v="Non-structural"/>
    <m/>
    <n v="2020"/>
    <s v="N/A"/>
    <s v="N/A"/>
  </r>
  <r>
    <m/>
    <s v="Mirada CDD"/>
    <s v="Lee County"/>
    <s v="M-01"/>
    <s v="Education/Fertilizer"/>
    <s v="Public education, training, codes and ordinances provided by Lee County."/>
    <s v="Education Efforts"/>
    <x v="2"/>
    <s v="2017"/>
    <s v="N/A"/>
    <s v="N/A"/>
    <s v="N/A"/>
    <s v="County-wide; District-wide"/>
    <s v="N/A"/>
    <s v="N/A"/>
    <s v="N/A"/>
    <s v="Lee County"/>
    <s v="N/A"/>
    <s v="N/A"/>
    <s v="N/A"/>
    <s v="26.514444"/>
    <s v="-81.913056"/>
    <s v="N/A"/>
    <m/>
    <s v="Non-structural"/>
    <m/>
    <n v="2020"/>
    <s v="N/A"/>
    <s v="N/A"/>
  </r>
  <r>
    <m/>
    <s v="Mirada CDD"/>
    <s v="Lee County"/>
    <s v="M-02"/>
    <s v="Education/Pet Waste"/>
    <s v="Public education and training provided by Lee County."/>
    <s v="Education Efforts"/>
    <x v="2"/>
    <s v="2017"/>
    <s v="N/A"/>
    <s v="N/A"/>
    <s v="N/A"/>
    <s v="County-wide; District-wide"/>
    <s v="N/A"/>
    <s v="N/A"/>
    <s v="N/A"/>
    <s v="Lee County"/>
    <s v="N/A"/>
    <s v="N/A"/>
    <s v="N/A"/>
    <s v="26.514444"/>
    <s v="-81.913056"/>
    <s v="N/A"/>
    <m/>
    <s v="Non-structural"/>
    <m/>
    <n v="2020"/>
    <s v="N/A"/>
    <s v="N/A"/>
  </r>
  <r>
    <m/>
    <s v="City of Moore Haven"/>
    <s v="N/A"/>
    <s v="MH-02"/>
    <s v="Sanitary Sewer Hook-Up Project"/>
    <s v="Hook-up 14 residential housing units on Railroad Ave, Avenue F and 7th street currently on septic systems to central sewer."/>
    <s v="OSTDS Phase Out"/>
    <x v="1"/>
    <s v="2019"/>
    <s v="2020"/>
    <n v="175.38132308276161"/>
    <s v="N/A"/>
    <s v="East Caloosahatchee"/>
    <s v="Not provided"/>
    <n v="694400"/>
    <s v="N/A"/>
    <s v="DEO"/>
    <s v="DEO-$644,000/ City - $50,400"/>
    <s v="N/A"/>
    <s v="N/A"/>
    <n v="26.835885000000001"/>
    <n v="-81.099753000000007"/>
    <s v="N/A"/>
    <s v="N"/>
    <s v="Structural"/>
    <m/>
    <n v="2020"/>
    <s v="N/A"/>
    <s v="N/A"/>
  </r>
  <r>
    <m/>
    <s v="Port LaBelle CDD"/>
    <s v="N/A"/>
    <s v="PL-01"/>
    <s v="Public Education and Outreach"/>
    <s v="Updates on BMAP and requirements during annual meeting."/>
    <s v="Education Efforts"/>
    <x v="0"/>
    <s v="2019"/>
    <s v="N/A"/>
    <n v="61.481276597421136"/>
    <n v="14.255604822827236"/>
    <s v="East Caloosahatchee"/>
    <n v="5422.8"/>
    <s v="TBD"/>
    <s v="TBD"/>
    <s v="Port LaBelle CDD"/>
    <s v="TBD"/>
    <s v="N/A"/>
    <s v="N/A"/>
    <s v="TBD"/>
    <s v="TBD"/>
    <s v="N/A"/>
    <s v="N"/>
    <s v="Non-structural"/>
    <m/>
    <n v="2020"/>
    <s v="N/A"/>
    <s v="N/A"/>
  </r>
  <r>
    <m/>
    <s v="LA-MSID (formerly ECWCD)"/>
    <s v="Lee County"/>
    <s v="LA-15"/>
    <s v="GS-10"/>
    <s v="Construct STA."/>
    <s v="Stormwater Treatment Areas (STAs)"/>
    <x v="0"/>
    <s v="2021"/>
    <s v="2031"/>
    <s v="TBD"/>
    <s v="TBD"/>
    <s v="West Caloosahatchee"/>
    <n v="17076"/>
    <n v="12000000"/>
    <s v="Not provided"/>
    <s v="TBD"/>
    <s v="Not provided"/>
    <s v="TBD"/>
    <s v="Not provided"/>
    <n v="26.54102"/>
    <n v="-81.60454"/>
    <s v="N/A"/>
    <s v="TBD"/>
    <s v="Structural"/>
    <m/>
    <n v="2020"/>
    <s v="N/A"/>
    <s v="N/A"/>
  </r>
  <r>
    <m/>
    <s v="LA-MSID (formerly ECWCD)"/>
    <s v="Not provided"/>
    <s v="LA-16"/>
    <s v="S-BH-2"/>
    <s v="Replacement of weir structures at increase control elevations to provide additional attenuation."/>
    <s v="Control Structure"/>
    <x v="3"/>
    <s v="2021"/>
    <s v="2021"/>
    <s v="TBD"/>
    <s v="TBD"/>
    <s v="West Caloosahatchee"/>
    <n v="1031"/>
    <n v="75000"/>
    <s v="Not provided"/>
    <s v="LA-MSID"/>
    <s v="$75,000"/>
    <s v="N/A"/>
    <s v="Not provided"/>
    <n v="26.54102"/>
    <n v="-81.60454"/>
    <s v="N/A"/>
    <s v="TBD"/>
    <s v="Structural"/>
    <m/>
    <n v="2020"/>
    <s v="N/A"/>
    <s v="N/A"/>
  </r>
  <r>
    <m/>
    <s v="LA-MSID (formerly ECWCD)"/>
    <s v="Not provided"/>
    <s v="LA-17"/>
    <s v="S-CP-1"/>
    <s v="Replacement of weir structures at increase control elevations to provide additional attenuation."/>
    <s v="Control Structure"/>
    <x v="3"/>
    <s v="2021"/>
    <s v="2021"/>
    <s v="TBD"/>
    <s v="TBD"/>
    <s v="West Caloosahatchee"/>
    <n v="1135"/>
    <n v="400000"/>
    <s v="Not provided"/>
    <s v="LA-MSID"/>
    <s v="$400,000"/>
    <s v="N/A"/>
    <s v="N/A"/>
    <n v="26.621559999999999"/>
    <n v="-81.727209999999999"/>
    <s v="N/A"/>
    <s v="TBD"/>
    <s v="Structural"/>
    <m/>
    <n v="2020"/>
    <s v="N/A"/>
    <s v="N/A"/>
  </r>
  <r>
    <m/>
    <s v="LA-MSID (formerly ECWCD)"/>
    <s v="Not provided"/>
    <s v="LA-18"/>
    <s v="S-R-1"/>
    <s v="Replacement of weir structures at increase control elevations to provide additional attenuation."/>
    <s v="Control Structure"/>
    <x v="1"/>
    <s v="2020"/>
    <s v="2020"/>
    <s v="TBD"/>
    <s v="TBD"/>
    <s v="Tidal Caloosahatchee"/>
    <n v="1193"/>
    <n v="136681"/>
    <m/>
    <s v="LA-MSID"/>
    <s v="$136,681"/>
    <s v="N/A"/>
    <s v="N/A"/>
    <n v="26.63524"/>
    <n v="-81.691950000000006"/>
    <s v="N/A"/>
    <s v="TBD"/>
    <s v="Structural"/>
    <m/>
    <n v="2020"/>
    <s v="N/A"/>
    <s v="N/A"/>
  </r>
  <r>
    <m/>
    <m/>
    <m/>
    <m/>
    <m/>
    <m/>
    <m/>
    <x v="4"/>
    <m/>
    <m/>
    <m/>
    <m/>
    <m/>
    <m/>
    <m/>
    <m/>
    <m/>
    <m/>
    <m/>
    <m/>
    <m/>
    <m/>
    <m/>
    <m/>
    <m/>
    <m/>
    <m/>
    <m/>
    <m/>
  </r>
  <r>
    <m/>
    <m/>
    <m/>
    <m/>
    <m/>
    <m/>
    <m/>
    <x v="4"/>
    <m/>
    <m/>
    <m/>
    <m/>
    <m/>
    <m/>
    <m/>
    <m/>
    <m/>
    <m/>
    <m/>
    <m/>
    <m/>
    <m/>
    <m/>
    <m/>
    <m/>
    <m/>
    <m/>
    <m/>
    <m/>
  </r>
  <r>
    <m/>
    <m/>
    <m/>
    <m/>
    <m/>
    <m/>
    <m/>
    <x v="4"/>
    <m/>
    <m/>
    <m/>
    <m/>
    <m/>
    <m/>
    <m/>
    <m/>
    <m/>
    <m/>
    <m/>
    <m/>
    <m/>
    <m/>
    <m/>
    <m/>
    <m/>
    <m/>
    <m/>
    <m/>
    <m/>
  </r>
  <r>
    <m/>
    <m/>
    <m/>
    <m/>
    <m/>
    <m/>
    <m/>
    <x v="4"/>
    <m/>
    <m/>
    <m/>
    <m/>
    <m/>
    <m/>
    <m/>
    <m/>
    <m/>
    <m/>
    <m/>
    <m/>
    <m/>
    <m/>
    <m/>
    <m/>
    <m/>
    <m/>
    <m/>
    <m/>
    <m/>
  </r>
  <r>
    <m/>
    <m/>
    <m/>
    <m/>
    <m/>
    <m/>
    <m/>
    <x v="4"/>
    <m/>
    <m/>
    <m/>
    <m/>
    <m/>
    <m/>
    <m/>
    <m/>
    <m/>
    <m/>
    <m/>
    <m/>
    <m/>
    <m/>
    <m/>
    <m/>
    <m/>
    <m/>
    <m/>
    <m/>
    <m/>
  </r>
  <r>
    <m/>
    <m/>
    <m/>
    <m/>
    <m/>
    <m/>
    <m/>
    <x v="4"/>
    <m/>
    <m/>
    <m/>
    <m/>
    <m/>
    <m/>
    <m/>
    <m/>
    <m/>
    <m/>
    <m/>
    <m/>
    <m/>
    <m/>
    <m/>
    <m/>
    <m/>
    <m/>
    <m/>
    <m/>
    <m/>
  </r>
  <r>
    <m/>
    <m/>
    <m/>
    <m/>
    <m/>
    <m/>
    <m/>
    <x v="4"/>
    <m/>
    <m/>
    <m/>
    <m/>
    <m/>
    <m/>
    <m/>
    <m/>
    <m/>
    <m/>
    <m/>
    <m/>
    <m/>
    <m/>
    <m/>
    <m/>
    <m/>
    <m/>
    <m/>
    <m/>
    <m/>
  </r>
  <r>
    <m/>
    <m/>
    <m/>
    <m/>
    <m/>
    <m/>
    <m/>
    <x v="4"/>
    <m/>
    <m/>
    <m/>
    <m/>
    <m/>
    <m/>
    <m/>
    <m/>
    <m/>
    <m/>
    <m/>
    <m/>
    <m/>
    <m/>
    <m/>
    <m/>
    <m/>
    <m/>
    <m/>
    <m/>
    <m/>
  </r>
  <r>
    <m/>
    <m/>
    <m/>
    <m/>
    <m/>
    <m/>
    <m/>
    <x v="4"/>
    <m/>
    <m/>
    <m/>
    <m/>
    <m/>
    <m/>
    <m/>
    <m/>
    <m/>
    <m/>
    <m/>
    <m/>
    <m/>
    <m/>
    <m/>
    <m/>
    <m/>
    <m/>
    <m/>
    <m/>
    <m/>
  </r>
  <r>
    <m/>
    <m/>
    <m/>
    <m/>
    <m/>
    <m/>
    <m/>
    <x v="4"/>
    <m/>
    <m/>
    <m/>
    <m/>
    <m/>
    <m/>
    <m/>
    <m/>
    <m/>
    <m/>
    <m/>
    <m/>
    <m/>
    <m/>
    <m/>
    <m/>
    <m/>
    <m/>
    <m/>
    <m/>
    <m/>
  </r>
  <r>
    <m/>
    <m/>
    <m/>
    <m/>
    <m/>
    <m/>
    <m/>
    <x v="4"/>
    <m/>
    <m/>
    <m/>
    <m/>
    <m/>
    <m/>
    <m/>
    <m/>
    <m/>
    <m/>
    <m/>
    <m/>
    <m/>
    <m/>
    <m/>
    <m/>
    <m/>
    <m/>
    <m/>
    <m/>
    <m/>
  </r>
  <r>
    <m/>
    <m/>
    <m/>
    <m/>
    <m/>
    <m/>
    <m/>
    <x v="4"/>
    <m/>
    <m/>
    <m/>
    <m/>
    <m/>
    <m/>
    <m/>
    <m/>
    <m/>
    <m/>
    <m/>
    <m/>
    <m/>
    <m/>
    <m/>
    <m/>
    <m/>
    <m/>
    <m/>
    <m/>
    <m/>
  </r>
  <r>
    <m/>
    <m/>
    <m/>
    <m/>
    <m/>
    <m/>
    <m/>
    <x v="4"/>
    <m/>
    <m/>
    <m/>
    <m/>
    <m/>
    <m/>
    <m/>
    <m/>
    <m/>
    <m/>
    <m/>
    <m/>
    <m/>
    <m/>
    <m/>
    <m/>
    <m/>
    <m/>
    <m/>
    <m/>
    <m/>
  </r>
  <r>
    <m/>
    <m/>
    <m/>
    <m/>
    <m/>
    <m/>
    <m/>
    <x v="4"/>
    <m/>
    <m/>
    <m/>
    <m/>
    <m/>
    <m/>
    <m/>
    <m/>
    <m/>
    <m/>
    <m/>
    <m/>
    <m/>
    <m/>
    <m/>
    <m/>
    <m/>
    <m/>
    <m/>
    <m/>
    <m/>
  </r>
  <r>
    <m/>
    <m/>
    <m/>
    <m/>
    <m/>
    <m/>
    <m/>
    <x v="4"/>
    <m/>
    <m/>
    <m/>
    <m/>
    <m/>
    <m/>
    <m/>
    <m/>
    <m/>
    <m/>
    <m/>
    <m/>
    <m/>
    <m/>
    <m/>
    <m/>
    <m/>
    <m/>
    <m/>
    <m/>
    <m/>
  </r>
  <r>
    <m/>
    <m/>
    <m/>
    <m/>
    <m/>
    <m/>
    <m/>
    <x v="4"/>
    <m/>
    <m/>
    <m/>
    <m/>
    <m/>
    <m/>
    <m/>
    <m/>
    <m/>
    <m/>
    <m/>
    <m/>
    <m/>
    <m/>
    <m/>
    <m/>
    <m/>
    <m/>
    <m/>
    <m/>
    <m/>
  </r>
  <r>
    <m/>
    <m/>
    <m/>
    <m/>
    <m/>
    <m/>
    <m/>
    <x v="4"/>
    <m/>
    <m/>
    <m/>
    <m/>
    <m/>
    <m/>
    <m/>
    <m/>
    <m/>
    <m/>
    <m/>
    <m/>
    <m/>
    <m/>
    <m/>
    <m/>
    <m/>
    <m/>
    <m/>
    <m/>
    <m/>
  </r>
  <r>
    <m/>
    <m/>
    <m/>
    <m/>
    <m/>
    <m/>
    <m/>
    <x v="4"/>
    <m/>
    <m/>
    <m/>
    <m/>
    <m/>
    <m/>
    <m/>
    <m/>
    <m/>
    <m/>
    <m/>
    <m/>
    <m/>
    <m/>
    <m/>
    <m/>
    <m/>
    <m/>
    <m/>
    <m/>
    <m/>
  </r>
  <r>
    <m/>
    <m/>
    <m/>
    <m/>
    <m/>
    <m/>
    <m/>
    <x v="4"/>
    <m/>
    <m/>
    <m/>
    <m/>
    <m/>
    <m/>
    <m/>
    <m/>
    <m/>
    <m/>
    <m/>
    <m/>
    <m/>
    <m/>
    <m/>
    <m/>
    <m/>
    <m/>
    <m/>
    <m/>
    <m/>
  </r>
  <r>
    <m/>
    <m/>
    <m/>
    <m/>
    <m/>
    <m/>
    <m/>
    <x v="4"/>
    <m/>
    <m/>
    <m/>
    <m/>
    <m/>
    <m/>
    <m/>
    <m/>
    <m/>
    <m/>
    <m/>
    <m/>
    <m/>
    <m/>
    <m/>
    <m/>
    <m/>
    <m/>
    <m/>
    <m/>
    <m/>
  </r>
  <r>
    <m/>
    <m/>
    <m/>
    <m/>
    <m/>
    <m/>
    <m/>
    <x v="4"/>
    <m/>
    <m/>
    <m/>
    <m/>
    <m/>
    <m/>
    <m/>
    <m/>
    <m/>
    <m/>
    <m/>
    <m/>
    <m/>
    <m/>
    <m/>
    <m/>
    <m/>
    <m/>
    <m/>
    <m/>
    <m/>
  </r>
  <r>
    <m/>
    <m/>
    <m/>
    <m/>
    <m/>
    <m/>
    <m/>
    <x v="4"/>
    <m/>
    <m/>
    <m/>
    <m/>
    <m/>
    <m/>
    <m/>
    <m/>
    <m/>
    <m/>
    <m/>
    <m/>
    <m/>
    <m/>
    <m/>
    <m/>
    <m/>
    <m/>
    <m/>
    <m/>
    <m/>
  </r>
  <r>
    <m/>
    <m/>
    <m/>
    <m/>
    <m/>
    <m/>
    <m/>
    <x v="4"/>
    <m/>
    <m/>
    <m/>
    <m/>
    <m/>
    <m/>
    <m/>
    <m/>
    <m/>
    <m/>
    <m/>
    <m/>
    <m/>
    <m/>
    <m/>
    <m/>
    <m/>
    <m/>
    <m/>
    <m/>
    <m/>
  </r>
  <r>
    <m/>
    <m/>
    <m/>
    <m/>
    <m/>
    <m/>
    <m/>
    <x v="4"/>
    <m/>
    <m/>
    <m/>
    <m/>
    <m/>
    <m/>
    <m/>
    <m/>
    <m/>
    <m/>
    <m/>
    <m/>
    <m/>
    <m/>
    <m/>
    <m/>
    <m/>
    <m/>
    <m/>
    <m/>
    <m/>
  </r>
  <r>
    <m/>
    <m/>
    <m/>
    <m/>
    <m/>
    <m/>
    <m/>
    <x v="4"/>
    <m/>
    <m/>
    <m/>
    <m/>
    <m/>
    <m/>
    <m/>
    <m/>
    <m/>
    <m/>
    <m/>
    <m/>
    <m/>
    <m/>
    <m/>
    <m/>
    <m/>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6">
  <r>
    <s v="CALO"/>
    <n v="5160"/>
    <s v="Barron WCD"/>
    <s v="DEP/ FDACS"/>
    <s v="BD-01"/>
    <s v="Public Education and Outreach"/>
    <s v="Updates on BMAP and requirements during annual landowner meetings."/>
    <s v="Education Efforts"/>
    <x v="0"/>
    <s v="2019"/>
    <x v="0"/>
    <s v="N/A"/>
    <s v="N/A"/>
    <s v="East Caloosahatchee"/>
    <s v="N/A"/>
    <s v="Not provided"/>
    <s v="TBD"/>
    <s v="Barron WCD"/>
    <s v="N/A"/>
    <s v="N/A"/>
    <s v="N/A"/>
    <n v="26.75713889"/>
    <n v="-81.386111110000002"/>
    <s v="N/A"/>
    <m/>
    <s v="Non-structural"/>
    <m/>
    <x v="0"/>
    <s v="N/A"/>
    <s v="N/A"/>
  </r>
  <r>
    <s v="CALO"/>
    <n v="5161"/>
    <s v="Barron WCD"/>
    <s v="FDACS"/>
    <s v="BD-02"/>
    <s v="FDACS BMP Assistance"/>
    <s v="Provide assistance to FDACS, as needed, to encourage landowners to enroll in BMPs."/>
    <s v="Agricultural BMPs"/>
    <x v="0"/>
    <s v="2019"/>
    <x v="0"/>
    <s v="N/A"/>
    <s v="N/A"/>
    <s v="East Caloosahatchee"/>
    <s v="N/A"/>
    <s v="Not provided"/>
    <s v="TBD"/>
    <s v="Barron WCD"/>
    <s v="N/A"/>
    <s v="N/A"/>
    <s v="N/A"/>
    <n v="26.7515"/>
    <n v="-81.275000000000006"/>
    <s v="N/A"/>
    <m/>
    <s v="Non-structural"/>
    <m/>
    <x v="0"/>
    <s v="N/A"/>
    <s v="N/A"/>
  </r>
  <r>
    <s v="CALO"/>
    <n v="5162"/>
    <s v="Barron WCD"/>
    <s v="N/A"/>
    <s v="BD-03"/>
    <s v="Nutrient Controls"/>
    <s v="No application of fertilizer in district's rights-of-way."/>
    <s v="Fertilizer Cessation"/>
    <x v="1"/>
    <s v="2020"/>
    <x v="1"/>
    <s v="N/A"/>
    <s v="N/A"/>
    <s v="East Caloosahatchee"/>
    <s v="N/A"/>
    <s v="TBD"/>
    <s v="TBD"/>
    <s v="Barron WCD"/>
    <s v="N/A"/>
    <s v="N/A"/>
    <s v="N/A"/>
    <n v="26.7515"/>
    <n v="-81.275000000000006"/>
    <s v="N/A"/>
    <m/>
    <s v="Non-structural"/>
    <m/>
    <x v="0"/>
    <s v="N/A"/>
    <s v="N/A"/>
  </r>
  <r>
    <s v="CALO"/>
    <n v="5163"/>
    <s v="Barron WCD"/>
    <s v="N/A"/>
    <s v="BD-04"/>
    <s v="Canal/Ditch Bank Berms"/>
    <s v="Minimize sediment transport by constructing berms on top of canal/ditch banks and promoting vegetation cover."/>
    <s v="Shoreline Stabilization"/>
    <x v="0"/>
    <s v="2020"/>
    <x v="0"/>
    <s v="N/A"/>
    <s v="N/A"/>
    <s v="East Caloosahatchee"/>
    <s v="N/A"/>
    <s v="TBD"/>
    <s v="TBD"/>
    <s v="Barron WCD"/>
    <s v="N/A"/>
    <s v="N/A"/>
    <s v="N/A"/>
    <n v="26.7515"/>
    <n v="-81.275000000000006"/>
    <s v="N/A"/>
    <m/>
    <s v="Structural"/>
    <m/>
    <x v="0"/>
    <s v="N/A"/>
    <s v="N/A"/>
  </r>
  <r>
    <s v="CALO"/>
    <n v="5164"/>
    <s v="Barron WCD"/>
    <s v="N/A"/>
    <s v="BD-05"/>
    <s v="Control Structures"/>
    <s v="Annual maintenance of water control structures."/>
    <s v="Control Structure"/>
    <x v="2"/>
    <s v="2021"/>
    <x v="0"/>
    <s v="N/A"/>
    <s v="N/A"/>
    <s v="East Caloosahatchee"/>
    <s v="N/A"/>
    <s v="TBD"/>
    <s v="TBD"/>
    <s v="Barron WCD"/>
    <s v="N/A"/>
    <s v="N/A"/>
    <s v="N/A"/>
    <n v="26.7515"/>
    <n v="-81.275000000000006"/>
    <s v="N/A"/>
    <m/>
    <s v="Structural"/>
    <m/>
    <x v="0"/>
    <s v="N/A"/>
    <s v="N/A"/>
  </r>
  <r>
    <s v="CALO"/>
    <n v="5165"/>
    <s v="Coordinating Agency"/>
    <s v="N/A"/>
    <s v="CA-01"/>
    <s v="C-43 West Basin Storage Reservoir"/>
    <s v="Storage of 170,000 acre-feet of stormwater runoff and releases from Lake Okeechobee. It will reduce volume of lake discharges in wet season and provide freshwater flow to the estuary in dry season to aid in essential flows for more stable salinities."/>
    <s v="Hydrologic Restoration"/>
    <x v="3"/>
    <s v="2015"/>
    <x v="2"/>
    <s v="N/A"/>
    <s v="N/A"/>
    <s v="West Caloosahatchee"/>
    <n v="10700"/>
    <n v="853335773"/>
    <n v="2200000"/>
    <s v="USACE/ SFWMD/ Florida Legislature"/>
    <s v="USACE - $38,846,743/ SFWMD - $6,226,922/ Florida Legislature - $396,824,679"/>
    <s v="N/A"/>
    <s v="N/A"/>
    <n v="26.78637063"/>
    <n v="-81.288741049999999"/>
    <s v="N/A"/>
    <s v="Y"/>
    <s v="Structural"/>
    <m/>
    <x v="0"/>
    <s v="Not provided"/>
    <s v="Not provided"/>
  </r>
  <r>
    <s v="CALO"/>
    <n v="5166"/>
    <s v="Coordinating Agency"/>
    <s v="N/A"/>
    <s v="CA-02"/>
    <s v="Lake Hicpochee Storage and Shallow Hydrologic Enhancement, Phase 1"/>
    <s v="Provide shallow water storage, rehydrate a portion of lake bed to promote habitat restoration storage, and increase capacity for ancillary water quality benefit. Project will deliver excess stormwater runoff from C-19 canal to north end of lake as needed."/>
    <s v="Hydrologic Restoration"/>
    <x v="1"/>
    <s v="2017"/>
    <x v="3"/>
    <s v="N/A"/>
    <s v="N/A"/>
    <s v="East Caloosahatchee"/>
    <n v="670"/>
    <n v="17300590"/>
    <n v="114588"/>
    <s v="SFWMD/ Florida Legislature"/>
    <s v="SFWMD - $12,395,150/ Florida Legislature - $4,905,440"/>
    <s v="N/A"/>
    <s v="N/A"/>
    <n v="26.81848578"/>
    <n v="-81.145942020000007"/>
    <s v="N/A"/>
    <s v="Y"/>
    <s v="Structural"/>
    <m/>
    <x v="0"/>
    <s v="Not provided"/>
    <s v="Not provided"/>
  </r>
  <r>
    <s v="CALO"/>
    <n v="5167"/>
    <s v="Coordinating Agency"/>
    <s v="N/A"/>
    <s v="CA-03"/>
    <s v="Lake Hicpochee Storage and Shallow Hydrologic Enhancement Expansion"/>
    <s v="Building on Phase I efforts, project will expand regional storage in the Caloosahatchee River Watershed and reduce flows lost to tide on over 2,600 acres of District lands."/>
    <s v="Hydrologic Restoration"/>
    <x v="0"/>
    <s v="2022"/>
    <x v="4"/>
    <s v="N/A"/>
    <n v="3810.8294399999995"/>
    <s v="East Caloosahatchee"/>
    <n v="2648"/>
    <n v="95231364"/>
    <s v="TBD"/>
    <s v="SFWMD/ Florida Legislature"/>
    <s v="SFWMD - $27,043/ Florida Legislature - $1,500,000"/>
    <s v="N/A"/>
    <s v="N/A"/>
    <n v="26.817145289999999"/>
    <n v="-81.148903180000005"/>
    <s v="N/A"/>
    <s v="Y"/>
    <s v="Structural"/>
    <m/>
    <x v="0"/>
    <s v="Not provided"/>
    <s v="Not provided"/>
  </r>
  <r>
    <s v="CALO"/>
    <n v="5168"/>
    <s v="Coordinating Agency"/>
    <s v="N/A"/>
    <s v="CA-04"/>
    <s v="BOMA Flow Equalization Basin (FEB)"/>
    <s v="Expand regional storage in the Caloosahatchee River Watershed and reduce flows to the estuary on approximately 1,800 acres of SFWMD lands."/>
    <s v="Hydrologic Restoration"/>
    <x v="0"/>
    <s v="2023"/>
    <x v="4"/>
    <s v="N/A"/>
    <s v="N/A"/>
    <s v="East Caloosahatchee"/>
    <n v="1797"/>
    <s v="TBD"/>
    <s v="TBD"/>
    <s v="SFWMD/ Florida Legislature"/>
    <s v="TBD"/>
    <s v="N/A"/>
    <s v="N/A"/>
    <s v="26.779607"/>
    <s v="-81.289079"/>
    <s v="N/A"/>
    <s v="Y"/>
    <s v="Structural"/>
    <m/>
    <x v="0"/>
    <s v="Not provided"/>
    <s v="Not provided"/>
  </r>
  <r>
    <s v="CALO"/>
    <n v="5169"/>
    <s v="Coordinating Agency"/>
    <s v="N/A"/>
    <s v="CA-05"/>
    <s v="C-43 Water Quality Treatment and Testing Facility, Phase II - Test Cells"/>
    <s v="Evaluate the effectiveness of wetland treatment systems in reducing nitrogen at a test-scale."/>
    <s v="Study"/>
    <x v="0"/>
    <s v="2022"/>
    <x v="5"/>
    <s v="N/A"/>
    <s v="N/A"/>
    <s v="East Caloosahatchee"/>
    <s v="TBD"/>
    <s v="TBD"/>
    <s v="TBD"/>
    <s v="SFWMD/ Florida Legislature"/>
    <s v="TBD"/>
    <s v="N/A"/>
    <s v="N/A"/>
    <s v="Not provided"/>
    <s v="Not provided"/>
    <s v="N/A"/>
    <s v="Y"/>
    <s v="Non-structural"/>
    <m/>
    <x v="0"/>
    <s v="Not provided"/>
    <s v="Not provided"/>
  </r>
  <r>
    <s v="CALO"/>
    <n v="5170"/>
    <s v="Coordinating Agency"/>
    <s v="N/A"/>
    <s v="CA-06"/>
    <s v="C-43 West Basin Storage Reservoir Water Quality Component"/>
    <s v="Construct and operate a water quality treatment component at the C-43 West Basin Storage Reservoir to reduce discharge of nutrients which may contribute to blue-green algal blooms."/>
    <s v="Constructed Wetland Treatment"/>
    <x v="3"/>
    <s v="2019"/>
    <x v="4"/>
    <s v="TBD"/>
    <s v="TBD"/>
    <s v="West Caloosahatchee"/>
    <s v="N/A"/>
    <n v="659385"/>
    <s v="N/A"/>
    <s v="Florida Legislature"/>
    <s v="$659,385"/>
    <s v="N/A"/>
    <s v="N/A"/>
    <s v="Not provided"/>
    <s v="Not provided"/>
    <s v="N/A"/>
    <s v="Y"/>
    <s v="Non-structural"/>
    <m/>
    <x v="0"/>
    <s v="Not provided"/>
    <s v="Not provided"/>
  </r>
  <r>
    <s v="CALO"/>
    <n v="5171"/>
    <s v="Coordinating Agency"/>
    <s v="N/A"/>
    <s v="CA-07"/>
    <s v="Mudge Ranch"/>
    <s v="304-acre project area, which has an estimated water storage benefit of 396 ac-ft/yr."/>
    <s v="Dispersed Water Management (DWM)"/>
    <x v="1"/>
    <s v="2013"/>
    <x v="6"/>
    <s v="N/A"/>
    <s v="N/A"/>
    <s v="West Caloosahatchee"/>
    <n v="304"/>
    <n v="17200"/>
    <n v="47500"/>
    <s v="Florida Legislature"/>
    <s v="$302,200"/>
    <s v="N/A"/>
    <s v="N/A"/>
    <n v="26.821022630000002"/>
    <n v="-81.470341869999999"/>
    <s v="N/A"/>
    <s v="Y"/>
    <s v="Structural"/>
    <m/>
    <x v="0"/>
    <s v="Not provided"/>
    <s v="Not provided"/>
  </r>
  <r>
    <s v="CALO"/>
    <n v="2318"/>
    <s v="City of Cape Coral"/>
    <s v="UF-IFAS"/>
    <s v="CC-01"/>
    <s v="Education Efforts"/>
    <s v="FYN; landscape, irrigation, pet waste, and fertilizer ordinances; pamphlets, PSAs, website, and Illicit Discharge Program."/>
    <s v="Education Efforts"/>
    <x v="2"/>
    <s v="Not provided"/>
    <x v="0"/>
    <n v="9299.2142886460551"/>
    <n v="3448.2961113327337"/>
    <s v="Tidal Caloosahatchee"/>
    <s v="N/A"/>
    <s v="Not provided"/>
    <n v="2000"/>
    <s v="City"/>
    <s v="Not provided"/>
    <s v="N/A"/>
    <s v="N/A"/>
    <s v="N/A"/>
    <s v="N/A"/>
    <s v="N/A"/>
    <m/>
    <s v="Non-structural"/>
    <s v="Ongoing"/>
    <x v="1"/>
    <n v="6998.4709679999996"/>
    <s v="N/A"/>
  </r>
  <r>
    <s v="CALO"/>
    <n v="2329"/>
    <s v="City of Cape Coral"/>
    <s v="N/A"/>
    <s v="CC-02"/>
    <s v="SE - 1 Swale/ Inlet Replacement"/>
    <s v="Installed raised inlets to provide additional water quality in roadside swales."/>
    <s v="Grass Swales with Swale Blocks or Raised Culverts"/>
    <x v="1"/>
    <s v="Not provided"/>
    <x v="7"/>
    <n v="0"/>
    <s v="N/A"/>
    <s v="Tidal Caloosahatchee"/>
    <s v="Not provided"/>
    <s v="Not provided"/>
    <s v="Not provided"/>
    <s v="City"/>
    <s v="Not provided"/>
    <s v="N/A"/>
    <s v="N/A"/>
    <s v="Not provided"/>
    <s v="Not provided"/>
    <s v="N/A"/>
    <m/>
    <s v="Structural"/>
    <s v="Completed"/>
    <x v="1"/>
    <n v="0"/>
    <s v="N/A"/>
  </r>
  <r>
    <s v="CALO"/>
    <n v="2327"/>
    <s v="City of Cape Coral"/>
    <s v="N/A"/>
    <s v="CC-03"/>
    <s v="SW - 1 Swale/ Inlet Replacement"/>
    <s v="Installed raised inlets to provide additional water quality in roadside swales."/>
    <s v="Grass Swales with Swale Blocks or Raised Culverts"/>
    <x v="1"/>
    <s v="Not provided"/>
    <x v="7"/>
    <n v="0"/>
    <s v="N/A"/>
    <s v="Tidal Caloosahatchee"/>
    <s v="Not provided"/>
    <s v="Not provided"/>
    <s v="Not provided"/>
    <s v="City"/>
    <s v="Not provided"/>
    <s v="N/A"/>
    <s v="N/A"/>
    <s v="Not provided"/>
    <s v="Not provided"/>
    <s v="N/A"/>
    <m/>
    <s v="Structural"/>
    <s v="Completed"/>
    <x v="1"/>
    <n v="0"/>
    <s v="N/A"/>
  </r>
  <r>
    <s v="CALO"/>
    <n v="2339"/>
    <s v="City of Cape Coral"/>
    <s v="N/A"/>
    <s v="CC-04"/>
    <s v="SW - 2 Swale/ Inlet Replacement"/>
    <s v="Installed raised inlets to provide additional water quality in roadside swales."/>
    <s v="Grass Swales with Swale Blocks or Raised Culverts"/>
    <x v="1"/>
    <s v="Not provided"/>
    <x v="7"/>
    <n v="0"/>
    <s v="N/A"/>
    <s v="Tidal Caloosahatchee"/>
    <s v="Not provided"/>
    <s v="Not provided"/>
    <s v="Not provided"/>
    <s v="City"/>
    <s v="Not provided"/>
    <s v="N/A"/>
    <s v="N/A"/>
    <s v="Not provided"/>
    <s v="Not provided"/>
    <s v="N/A"/>
    <m/>
    <s v="Structural"/>
    <s v="Completed"/>
    <x v="1"/>
    <n v="0"/>
    <s v="N/A"/>
  </r>
  <r>
    <s v="CALO"/>
    <n v="2304"/>
    <s v="City of Cape Coral"/>
    <s v="N/A"/>
    <s v="CC-05"/>
    <s v="SW - 3 Swale/ Inlet Replacement"/>
    <s v="Installed raised inlets to provide additional water quality in roadside swales."/>
    <s v="Grass Swales with Swale Blocks or Raised Culverts"/>
    <x v="1"/>
    <s v="Not provided"/>
    <x v="7"/>
    <n v="0"/>
    <s v="N/A"/>
    <s v="Tidal Caloosahatchee"/>
    <s v="Not provided"/>
    <s v="Not provided"/>
    <s v="Not provided"/>
    <s v="City"/>
    <s v="Not provided"/>
    <s v="N/A"/>
    <s v="N/A"/>
    <s v="Not provided"/>
    <s v="Not provided"/>
    <s v="N/A"/>
    <m/>
    <s v="Structural"/>
    <s v="Completed"/>
    <x v="1"/>
    <n v="0"/>
    <s v="N/A"/>
  </r>
  <r>
    <s v="CALO"/>
    <n v="2328"/>
    <s v="City of Cape Coral"/>
    <s v="DEP"/>
    <s v="CC-06"/>
    <s v="SW - 4 Swale/ Inlet Replacement"/>
    <s v="Installed raised inlets to provide additional water quality in roadside swales."/>
    <s v="Grass Swales with Swale Blocks or Raised Culverts"/>
    <x v="1"/>
    <s v="Not provided"/>
    <x v="7"/>
    <n v="0"/>
    <s v="N/A"/>
    <s v="Tidal Caloosahatchee"/>
    <s v="Not provided"/>
    <s v="Not provided"/>
    <s v="Not provided"/>
    <s v="City"/>
    <s v="City - $171,911"/>
    <s v="TBD"/>
    <s v="N/A"/>
    <s v="Not provided"/>
    <s v="Not provided"/>
    <s v="N/A"/>
    <m/>
    <s v="Structural"/>
    <s v="Completed"/>
    <x v="1"/>
    <n v="0"/>
    <s v="N/A"/>
  </r>
  <r>
    <s v="CALO"/>
    <n v="2296"/>
    <s v="City of Cape Coral"/>
    <s v="DEP"/>
    <s v="CC-07"/>
    <s v="SW - 5 Swale/ Inlet Replacement"/>
    <s v="Installed raised inlets to provide additional water quality in roadside swales."/>
    <s v="Grass Swales with Swale Blocks or Raised Culverts"/>
    <x v="1"/>
    <s v="Not provided"/>
    <x v="7"/>
    <n v="0"/>
    <s v="N/A"/>
    <s v="Tidal Caloosahatchee"/>
    <s v="Not provided"/>
    <s v="Not provided"/>
    <s v="Not provided"/>
    <s v="City"/>
    <s v="City - $172,629"/>
    <s v="TBD"/>
    <s v="N/A"/>
    <s v="Not provided"/>
    <s v="Not provided"/>
    <s v="N/A"/>
    <m/>
    <s v="Structural"/>
    <s v="Completed"/>
    <x v="1"/>
    <n v="0"/>
    <s v="N/A"/>
  </r>
  <r>
    <s v="CALO"/>
    <n v="2297"/>
    <s v="City of Cape Coral"/>
    <s v="N/A"/>
    <s v="CC-08"/>
    <s v="SE Pipe Replacement"/>
    <s v="SE pipe replacement."/>
    <s v="Stormwater System Rehabilitation"/>
    <x v="1"/>
    <s v="Not provided"/>
    <x v="7"/>
    <s v="N/A"/>
    <s v="N/A"/>
    <s v="Tidal Caloosahatchee"/>
    <s v="Not provided"/>
    <s v="Not provided"/>
    <s v="Not provided"/>
    <s v="City"/>
    <s v="Not provided"/>
    <s v="N/A"/>
    <s v="N/A"/>
    <s v="Not provided"/>
    <s v="Not provided"/>
    <s v="N/A"/>
    <m/>
    <s v="Structural"/>
    <s v="Completed"/>
    <x v="1"/>
    <n v="0"/>
    <s v="N/A"/>
  </r>
  <r>
    <s v="CALO"/>
    <n v="2298"/>
    <s v="City of Cape Coral"/>
    <s v="N/A"/>
    <s v="CC-09"/>
    <s v="Unit 23 – SE 8th Street Drainage"/>
    <s v="Unit 23–SE 8th Street drainage."/>
    <s v="Stormwater System Rehabilitation"/>
    <x v="1"/>
    <s v="Not provided"/>
    <x v="7"/>
    <s v="N/A"/>
    <s v="N/A"/>
    <s v="Tidal Caloosahatchee"/>
    <s v="Not provided"/>
    <s v="Not provided"/>
    <s v="Not provided"/>
    <s v="City"/>
    <s v="Not provided"/>
    <s v="N/A"/>
    <s v="N/A"/>
    <s v="Not provided"/>
    <s v="Not provided"/>
    <s v="N/A"/>
    <m/>
    <s v="Structural"/>
    <s v="Completed"/>
    <x v="1"/>
    <n v="0"/>
    <s v="N/A"/>
  </r>
  <r>
    <s v="CALO"/>
    <n v="2361"/>
    <s v="City of Cape Coral"/>
    <s v="N/A"/>
    <s v="CC-10"/>
    <s v="Freshwater Canal Detention"/>
    <s v="Regulation of freshwater canals through existing control structures."/>
    <s v="Control Structure"/>
    <x v="1"/>
    <s v="Not provided"/>
    <x v="7"/>
    <n v="4415.9061545880486"/>
    <n v="3411.7144657723475"/>
    <s v="Tidal Caloosahatchee"/>
    <n v="10702"/>
    <s v="Not provided"/>
    <s v="Not provided"/>
    <s v="City"/>
    <s v="Not provided"/>
    <s v="N/A"/>
    <s v="N/A"/>
    <s v="Not provided"/>
    <s v="Not provided"/>
    <s v="N/A"/>
    <m/>
    <s v="Structural"/>
    <s v="Completed"/>
    <x v="1"/>
    <n v="18130.525831999999"/>
    <s v="N/A"/>
  </r>
  <r>
    <s v="CALO"/>
    <n v="2299"/>
    <s v="City of Cape Coral"/>
    <s v="N/A"/>
    <s v="CC-11"/>
    <s v="Freshwater Canal Irrigation"/>
    <s v="Pump stormwater stored in canals into irrigation supply network."/>
    <s v="Stormwater Reuse"/>
    <x v="1"/>
    <s v="Not provided"/>
    <x v="7"/>
    <n v="796"/>
    <n v="140.80000000000001"/>
    <s v="Tidal Caloosahatchee"/>
    <s v="Not provided"/>
    <s v="Not provided"/>
    <s v="Not provided"/>
    <s v="City"/>
    <s v="Not provided"/>
    <s v="N/A"/>
    <s v="N/A"/>
    <s v="Not provided"/>
    <s v="Not provided"/>
    <s v="N/A"/>
    <m/>
    <s v="Structural"/>
    <s v="Completed"/>
    <x v="1"/>
    <n v="12550.89064"/>
    <s v="N/A"/>
  </r>
  <r>
    <s v="CALO"/>
    <n v="2330"/>
    <s v="City of Cape Coral"/>
    <s v="N/A"/>
    <s v="CC-12"/>
    <s v="Weir #6 Elevation/ Basin 12"/>
    <s v="Installed riser on weir in freshwater canal system to provide additional retention volume in canals."/>
    <s v="Control Structure"/>
    <x v="1"/>
    <s v="Not provided"/>
    <x v="7"/>
    <s v="N/A"/>
    <s v="N/A"/>
    <s v="Tidal Caloosahatchee"/>
    <n v="932"/>
    <s v="Not provided"/>
    <s v="Not provided"/>
    <s v="City"/>
    <s v="Not provided"/>
    <s v="N/A"/>
    <s v="N/A"/>
    <s v="Not provided"/>
    <s v="Not provided"/>
    <s v="N/A"/>
    <m/>
    <s v="Structural"/>
    <s v="Completed"/>
    <x v="1"/>
    <n v="0"/>
    <s v="N/A"/>
  </r>
  <r>
    <s v="CALO"/>
    <n v="2300"/>
    <s v="City of Cape Coral"/>
    <s v="N/A"/>
    <s v="CC-13"/>
    <s v="Weir #1 Elevation/ Basin 15"/>
    <s v="Installed riser on weir in freshwater canal system to provide additional retention volume in canals."/>
    <s v="Control Structure"/>
    <x v="1"/>
    <s v="Not provided"/>
    <x v="7"/>
    <s v="N/A"/>
    <s v="N/A"/>
    <s v="Tidal Caloosahatchee"/>
    <n v="1314"/>
    <s v="Not provided"/>
    <s v="Not provided"/>
    <s v="City"/>
    <s v="Not provided"/>
    <s v="N/A"/>
    <s v="N/A"/>
    <s v="Not provided"/>
    <s v="Not provided"/>
    <s v="N/A"/>
    <m/>
    <s v="Structural"/>
    <s v="Completed"/>
    <x v="1"/>
    <n v="0"/>
    <s v="N/A"/>
  </r>
  <r>
    <s v="CALO"/>
    <n v="2301"/>
    <s v="City of Cape Coral"/>
    <s v="N/A"/>
    <s v="CC-14"/>
    <s v="Street Sweeping"/>
    <s v="Street sweeping of downtown area, alleys, and commercial roads."/>
    <s v="Street Sweeping"/>
    <x v="2"/>
    <s v="2015"/>
    <x v="0"/>
    <n v="245.7507490952089"/>
    <n v="140.54965445521"/>
    <s v="Tidal Caloosahatchee"/>
    <s v="N/A"/>
    <s v="Not provided"/>
    <n v="360000"/>
    <s v="City"/>
    <s v="Not provided"/>
    <s v="N/A"/>
    <s v="N/A"/>
    <s v="Not provided"/>
    <s v="Not provided"/>
    <s v="N/A"/>
    <m/>
    <s v="Non-structural"/>
    <s v="Ongoing"/>
    <x v="2"/>
    <n v="491.69372800000002"/>
    <s v="N/A"/>
  </r>
  <r>
    <s v="CALO"/>
    <n v="2302"/>
    <s v="City of Cape Coral"/>
    <s v="N/A"/>
    <s v="CC-15"/>
    <s v="Septic to Sewer Phase Out Project"/>
    <s v="Phase out septic tanks in Southwest 6/7 area."/>
    <s v="OSTDS Phase Out"/>
    <x v="1"/>
    <s v="Not provided"/>
    <x v="8"/>
    <n v="66149"/>
    <s v="N/A"/>
    <s v="Tidal Caloosahatchee"/>
    <n v="2560"/>
    <s v="Not provided"/>
    <s v="Not provided"/>
    <s v="City"/>
    <s v="Not provided"/>
    <s v="N/A"/>
    <s v="N/A"/>
    <s v="Not provided"/>
    <s v="Not provided"/>
    <s v="N/A"/>
    <m/>
    <s v="Structural"/>
    <s v="Completed"/>
    <x v="3"/>
    <s v="TBD"/>
    <s v="N/A"/>
  </r>
  <r>
    <s v="CALO"/>
    <n v="2332"/>
    <s v="City of Cape Coral"/>
    <s v="N/A"/>
    <s v="CC-16"/>
    <s v="Catch Basin Cleanout"/>
    <s v="Catch basin cleanouts from Caloosahatchee Watershed areas."/>
    <s v="Catch Basin Inserts/Inlet Filter Cleanout"/>
    <x v="1"/>
    <s v="2015"/>
    <x v="8"/>
    <n v="109.32637887505491"/>
    <n v="56.023288838789995"/>
    <s v="Tidal Caloosahatchee"/>
    <s v="Not provided"/>
    <s v="Not provided"/>
    <n v="170000"/>
    <s v="City"/>
    <s v="Not provided"/>
    <s v="N/A"/>
    <s v="N/A"/>
    <s v="Not provided"/>
    <s v="Not provided"/>
    <s v="N/A"/>
    <m/>
    <s v="Non-structural"/>
    <m/>
    <x v="4"/>
    <n v="267.61928"/>
    <s v="N/A"/>
  </r>
  <r>
    <s v="CALO"/>
    <n v="4365"/>
    <s v="City of Cape Coral"/>
    <s v="N/A"/>
    <s v="CC-17"/>
    <s v="Unit 8 – SE 47th Terrace Streetscape Improvements Club Square"/>
    <s v="Suntree Technologies Skimboss and Bold and Gold Media - Club Square."/>
    <s v="Baffle Boxes- Second Generation with Media"/>
    <x v="1"/>
    <s v="Not provided"/>
    <x v="9"/>
    <s v="TBD"/>
    <s v="TBD"/>
    <s v="Tidal Caloosahatchee"/>
    <n v="5"/>
    <s v="Not provided"/>
    <s v="Not provided"/>
    <s v="City of Cape Coral"/>
    <s v="Not provided"/>
    <s v="N/A"/>
    <s v="N/A"/>
    <n v="26.564589000000002"/>
    <n v="-81.958070000000006"/>
    <s v="N/A"/>
    <m/>
    <s v="Structural"/>
    <s v="Completed"/>
    <x v="5"/>
    <s v="Not provided"/>
    <s v="Not provided"/>
  </r>
  <r>
    <s v="CALO"/>
    <n v="4366"/>
    <s v="City of Cape Coral"/>
    <s v="City of Fort Myers"/>
    <s v="CC-18"/>
    <s v="Ft Myers Cape Coral Wastewater Pipeline"/>
    <s v="Elimination of wastewater treatment plant effluent discharges to the river from Ft Myers by conveying wastewater to Cape Coral for reuse in Cape Coral water reclamation system."/>
    <s v="WWTF Diversion to Reuse"/>
    <x v="3"/>
    <s v="Not provided"/>
    <x v="10"/>
    <s v="TBD"/>
    <s v="TBD"/>
    <s v="Tidal Caloosahatchee"/>
    <s v="N/A"/>
    <s v="Not provided"/>
    <s v="Not provided"/>
    <s v="City of Cape Coral"/>
    <s v="Not provided"/>
    <s v="N/A"/>
    <s v="N/A"/>
    <n v="26.59652977"/>
    <n v="-81.889768259999997"/>
    <s v="Entity did not respond to requests"/>
    <m/>
    <s v="Structural"/>
    <s v="Underway"/>
    <x v="5"/>
    <s v="Not provided"/>
    <s v="Not provided"/>
  </r>
  <r>
    <s v="CALO"/>
    <n v="4840"/>
    <s v="City of Cape Coral"/>
    <s v="Lee County"/>
    <s v="CC-19"/>
    <s v="Yellow Fever Creek Hydrologic Restoration"/>
    <s v="Transfer water from Gator Slough to a new reservoir in Yellow Fever Creek and slowly releasing the flow into the headwaters of Yellow Fever Creek, extending wetland hydroperiods."/>
    <s v="Hydrologic Restoration"/>
    <x v="3"/>
    <s v="Not provided"/>
    <x v="10"/>
    <n v="13.5"/>
    <n v="18.8"/>
    <s v="Tidal Caloosahatchee"/>
    <n v="30.55"/>
    <s v="TBD"/>
    <s v="TBD"/>
    <s v="Not provided"/>
    <s v="Not provided"/>
    <s v="N/A"/>
    <s v="Not provided"/>
    <n v="26.71308702"/>
    <n v="-81.930542399999993"/>
    <s v="N/A"/>
    <m/>
    <s v="Structural"/>
    <s v="Underway"/>
    <x v="0"/>
    <s v="N/A"/>
    <s v="N/A"/>
  </r>
  <r>
    <s v="CALO"/>
    <n v="5172"/>
    <s v="Clewiston Drainage District"/>
    <s v="City of Clewiston/ DEP/ FDACS"/>
    <s v="CD-01"/>
    <s v="Public Education and Outreach"/>
    <s v="Updates on BMAP and requirements during annual landowner meetings."/>
    <s v="Education Efforts"/>
    <x v="0"/>
    <s v="2021"/>
    <x v="0"/>
    <s v="N/A"/>
    <s v="N/A"/>
    <s v="East Caloosahatchee"/>
    <s v="N/A"/>
    <n v="500"/>
    <s v="N/A"/>
    <s v="Clewiston Drainage District"/>
    <s v="$500"/>
    <s v="N/A"/>
    <s v="N/A"/>
    <n v="26.750692000000001"/>
    <n v="-80.936481000000001"/>
    <s v="N/A"/>
    <m/>
    <s v="Non-structural"/>
    <m/>
    <x v="0"/>
    <s v="N/A"/>
    <s v="N/A"/>
  </r>
  <r>
    <s v="CALO"/>
    <n v="5173"/>
    <s v="Clewiston Drainage District"/>
    <s v="FDACS"/>
    <s v="CD-02"/>
    <s v="FDACS BMP Assistance"/>
    <s v="Provide assistance to FDACS, as needed, to encourage landowners to enroll in BMPs."/>
    <s v="Agricultural BMPs"/>
    <x v="0"/>
    <s v="2021"/>
    <x v="0"/>
    <s v="N/A"/>
    <s v="N/A"/>
    <s v="East Caloosahatchee"/>
    <s v="N/A"/>
    <n v="1000"/>
    <s v="N/A"/>
    <s v="Clewiston Drainage District"/>
    <s v="$1,000"/>
    <s v="N/A"/>
    <s v="N/A"/>
    <n v="26.750692000000001"/>
    <n v="-80.936481000000001"/>
    <s v="N/A"/>
    <m/>
    <s v="Non-structural"/>
    <m/>
    <x v="0"/>
    <s v="N/A"/>
    <s v="N/A"/>
  </r>
  <r>
    <s v="CALO"/>
    <n v="5174"/>
    <s v="Clewiston Drainage District"/>
    <s v="N/A"/>
    <s v="CD-03"/>
    <s v="Nutrient Controls"/>
    <s v="No application of fertilizer in district's rights-of-way."/>
    <s v="Fertilizer Cessation"/>
    <x v="1"/>
    <s v="2020"/>
    <x v="1"/>
    <s v="N/A"/>
    <s v="N/A"/>
    <s v="East Caloosahatchee"/>
    <s v="N/A"/>
    <n v="0"/>
    <s v="N/A"/>
    <s v="Clewiston Drainage District"/>
    <s v="N/A"/>
    <s v="N/A"/>
    <s v="N/A"/>
    <n v="26.755175000000001"/>
    <n v="-80.935078000000004"/>
    <s v="N/A"/>
    <m/>
    <s v="Non-structural"/>
    <m/>
    <x v="0"/>
    <s v="N/A"/>
    <s v="N/A"/>
  </r>
  <r>
    <s v="CALO"/>
    <n v="5175"/>
    <s v="Clewiston Drainage District"/>
    <s v="N/A"/>
    <s v="CD-04"/>
    <s v="Control Structures"/>
    <s v="Annual maintenance of water control structures."/>
    <s v="Control Structure"/>
    <x v="2"/>
    <s v="2020"/>
    <x v="0"/>
    <s v="N/A"/>
    <s v="N/A"/>
    <s v="East Caloosahatchee"/>
    <s v="N/A"/>
    <n v="22500"/>
    <s v="N/A"/>
    <s v="Clewiston Drainage District"/>
    <s v="$22,500"/>
    <s v="N/A"/>
    <s v="N/A"/>
    <n v="26.75631388888889"/>
    <n v="-80.927722222222229"/>
    <s v="N/A"/>
    <m/>
    <s v="Structural"/>
    <m/>
    <x v="0"/>
    <s v="N/A"/>
    <s v="N/A"/>
  </r>
  <r>
    <s v="CALO"/>
    <n v="5176"/>
    <s v="Clewiston Drainage District"/>
    <s v="N/A"/>
    <s v="CD-05"/>
    <s v="Aquatic Vegetation Control"/>
    <s v="Mechanical removal of vegetation."/>
    <s v="Aquatic Vegetation Harvesting"/>
    <x v="0"/>
    <s v="2020"/>
    <x v="0"/>
    <s v="N/A"/>
    <s v="N/A"/>
    <s v="East Caloosahatchee"/>
    <s v="N/A"/>
    <n v="2000"/>
    <s v="N/A"/>
    <s v="Clewiston Drainage District"/>
    <s v="$14,000"/>
    <s v="N/A"/>
    <s v="N/A"/>
    <n v="26.755175000000001"/>
    <n v="-80.935078000000004"/>
    <s v="N/A"/>
    <m/>
    <s v="Non-structural"/>
    <m/>
    <x v="0"/>
    <s v="N/A"/>
    <s v="N/A"/>
  </r>
  <r>
    <s v="CALO"/>
    <n v="2331"/>
    <s v="Charlotte County"/>
    <s v="Not provided"/>
    <s v="CH-01"/>
    <s v="Education Efforts"/>
    <s v="Florida Yards and Neighborhoods (FYN) Program; landscape, irrigation, and fertilizer ordinances; pamphlets, public service announcements (PSAs), website, inspection/illicit discharge program."/>
    <s v="Education Efforts"/>
    <x v="2"/>
    <s v="Not provided"/>
    <x v="0"/>
    <n v="1272.2774924126636"/>
    <n v="212.39781875572319"/>
    <s v="Tidal Caloosahatchee; West Caloosahatchee"/>
    <s v="N/A"/>
    <s v="Not provided"/>
    <s v="Not provided"/>
    <s v="Not provided"/>
    <s v="Not provided"/>
    <s v="N/A"/>
    <s v="N/A"/>
    <s v="N/A"/>
    <s v="N/A"/>
    <s v="N/A"/>
    <m/>
    <s v="Non-structural"/>
    <s v="Ongoing"/>
    <x v="1"/>
    <n v="172.71195788"/>
    <s v="N/A"/>
  </r>
  <r>
    <s v="CALO"/>
    <n v="5177"/>
    <s v="County Line Drainage District"/>
    <s v="DEP/ FDACS"/>
    <s v="CL-01"/>
    <s v="Public Education and Outreach"/>
    <s v="Updates on BMAP and requirements during annual landowner meetings."/>
    <s v="Education Efforts"/>
    <x v="0"/>
    <s v="Not provided"/>
    <x v="0"/>
    <s v="N/A"/>
    <s v="N/A"/>
    <s v="West Caloosahatchee"/>
    <s v="N/A"/>
    <s v="Not provided"/>
    <s v="N/A"/>
    <s v="County Line Drainage District"/>
    <s v="Not provided"/>
    <s v="N/A"/>
    <s v="N/A"/>
    <s v="Not provided"/>
    <s v="Not provided"/>
    <s v="N/A"/>
    <m/>
    <s v="Non-structural"/>
    <m/>
    <x v="0"/>
    <s v="N/A"/>
    <s v="N/A"/>
  </r>
  <r>
    <s v="CALO"/>
    <n v="5178"/>
    <s v="County Line Drainage District"/>
    <s v="FDACS"/>
    <s v="CL-02"/>
    <s v="FDACS BMP Assistance"/>
    <s v="Provide assistance to FDACS, as needed, to encourage landowners to enroll in BMPs."/>
    <s v="Agricultural BMPs"/>
    <x v="0"/>
    <s v="Not provided"/>
    <x v="0"/>
    <s v="N/A"/>
    <s v="N/A"/>
    <s v="West Caloosahatchee"/>
    <s v="N/A"/>
    <s v="Not provided"/>
    <s v="N/A"/>
    <s v="County Line Drainage District"/>
    <s v="Not provided"/>
    <s v="N/A"/>
    <s v="N/A"/>
    <s v="Not provided"/>
    <s v="Not provided"/>
    <s v="N/A"/>
    <m/>
    <s v="Non-structural"/>
    <m/>
    <x v="0"/>
    <s v="N/A"/>
    <s v="N/A"/>
  </r>
  <r>
    <s v="CALO"/>
    <n v="5179"/>
    <s v="County Line Drainage District"/>
    <s v="N/A"/>
    <s v="CL-03"/>
    <s v="Nutrient Controls"/>
    <s v="No application of fertilizer in district's rights-of-way."/>
    <s v="Fertilizer Cessation"/>
    <x v="1"/>
    <s v="Not provided"/>
    <x v="1"/>
    <s v="N/A"/>
    <s v="N/A"/>
    <s v="West Caloosahatchee"/>
    <s v="N/A"/>
    <s v="Not provided"/>
    <s v="N/A"/>
    <s v="County Line Drainage District"/>
    <s v="Not provided"/>
    <s v="N/A"/>
    <s v="N/A"/>
    <s v="Not provided"/>
    <s v="Not provided"/>
    <s v="N/A"/>
    <m/>
    <s v="Non-structural"/>
    <m/>
    <x v="0"/>
    <s v="N/A"/>
    <s v="N/A"/>
  </r>
  <r>
    <s v="CALO"/>
    <n v="5180"/>
    <s v="County Line Drainage District"/>
    <s v="N/A"/>
    <s v="CL-04"/>
    <s v="Canal Cleaning Program"/>
    <s v="Review and field evaluation of sediment accumulation and scheduling of removal, when necessary."/>
    <s v="Muck Removal/Restoration Dredging"/>
    <x v="0"/>
    <s v="Not provided"/>
    <x v="0"/>
    <s v="N/A"/>
    <s v="N/A"/>
    <s v="West Caloosahatchee"/>
    <s v="N/A"/>
    <s v="Not provided"/>
    <s v="N/A"/>
    <s v="County Line Drainage District"/>
    <s v="Not provided"/>
    <s v="N/A"/>
    <s v="N/A"/>
    <s v="Not provided"/>
    <s v="Not provided"/>
    <s v="N/A"/>
    <m/>
    <s v="Non-structural"/>
    <m/>
    <x v="0"/>
    <s v="N/A"/>
    <s v="N/A"/>
  </r>
  <r>
    <s v="CALO"/>
    <n v="5181"/>
    <s v="County Line Drainage District"/>
    <s v="N/A"/>
    <s v="CL-05"/>
    <s v="Control Structures"/>
    <s v="Annual maintenance of water control structures."/>
    <s v="Control Structure"/>
    <x v="2"/>
    <s v="Not provided"/>
    <x v="0"/>
    <s v="N/A"/>
    <s v="N/A"/>
    <s v="West Caloosahatchee"/>
    <s v="N/A"/>
    <s v="Not provided"/>
    <s v="N/A"/>
    <s v="County Line Drainage District"/>
    <s v="Not provided"/>
    <s v="N/A"/>
    <s v="N/A"/>
    <s v="Not provided"/>
    <s v="Not provided"/>
    <s v="N/A"/>
    <m/>
    <s v="Structural"/>
    <m/>
    <x v="0"/>
    <s v="N/A"/>
    <s v="N/A"/>
  </r>
  <r>
    <s v="CALO"/>
    <m/>
    <s v="City of Clewiston"/>
    <s v="N/A"/>
    <s v="CW-04"/>
    <s v="Reverse Osmosis WTP Dry Pond"/>
    <s v="Dry detention pond (volume required = 0.23 ac-ft, volume provided = 1.12 ac-ft)."/>
    <s v="Dry Detention Pond"/>
    <x v="1"/>
    <s v="2006"/>
    <x v="7"/>
    <n v="18.7"/>
    <n v="1.4"/>
    <s v="East Caloosahatchee"/>
    <n v="68"/>
    <s v="N/A"/>
    <s v="N/A"/>
    <s v="N/A"/>
    <s v="N/A"/>
    <s v="N/A"/>
    <s v="N/A"/>
    <n v="26.741323000000001"/>
    <n v="-80.938835999999995"/>
    <s v="N/A"/>
    <s v="N"/>
    <s v="Structural"/>
    <m/>
    <x v="6"/>
    <s v="N/A"/>
    <s v="N/A"/>
  </r>
  <r>
    <s v="CALO"/>
    <m/>
    <s v="City of Clewiston"/>
    <s v="Sweet Lake Villas, LLC"/>
    <s v="CW-05"/>
    <s v="Sweet Lake Villas Community Association, Inc."/>
    <s v="Wet detention pond (volume required = 0.71 ac-ft, volume provided = 1.88 ac-ft)."/>
    <s v="Wet Detention Pond"/>
    <x v="1"/>
    <s v="2006"/>
    <x v="7"/>
    <n v="1.4"/>
    <n v="0.6"/>
    <s v="East Caloosahatchee"/>
    <n v="7.2"/>
    <s v="N/A"/>
    <s v="N/A"/>
    <s v="N/A"/>
    <s v="N/A"/>
    <s v="N/A"/>
    <s v="N/A"/>
    <n v="26.756734000000002"/>
    <n v="-80.945721000000006"/>
    <s v="N/A"/>
    <s v="N"/>
    <s v="Structural"/>
    <m/>
    <x v="6"/>
    <s v="N/A"/>
    <s v="N/A"/>
  </r>
  <r>
    <s v="CALO"/>
    <m/>
    <s v="City of Clewiston"/>
    <s v="N/A"/>
    <s v="CW-06"/>
    <s v="East Ventura Water Quality"/>
    <s v="Constructed wetlands to treat runoff."/>
    <s v="Stormwater Treatment Areas (STAs)"/>
    <x v="3"/>
    <s v="2020"/>
    <x v="10"/>
    <n v="37.700000000000003"/>
    <n v="6.3"/>
    <s v="East Caloosahatchee"/>
    <n v="22.7"/>
    <n v="461000"/>
    <s v="TBD"/>
    <s v="Grant"/>
    <s v="$461,000"/>
    <s v="TBD"/>
    <s v="26-103570-P"/>
    <n v="26.751328000000001"/>
    <n v="-80.930082999999996"/>
    <s v="Grant"/>
    <s v="N"/>
    <s v="Structural"/>
    <m/>
    <x v="6"/>
    <s v="N/A"/>
    <s v="N/A"/>
  </r>
  <r>
    <s v="CALO"/>
    <n v="5182"/>
    <s v="Collins Slough WCD"/>
    <s v="DEP/ FDACS"/>
    <s v="CS-01"/>
    <s v="Public Education and Outreach"/>
    <s v="Updates on BMAP and requirements during annual landowner meetings."/>
    <s v="Education Efforts"/>
    <x v="0"/>
    <s v="2021"/>
    <x v="0"/>
    <s v="N/A"/>
    <s v="N/A"/>
    <s v="East Caloosahatchee"/>
    <s v="N/A"/>
    <n v="500"/>
    <s v="N/A"/>
    <s v="Collins Slough WCD"/>
    <s v="$500"/>
    <s v="N/A"/>
    <s v="N/A"/>
    <n v="26.649243999999999"/>
    <n v="-81.274416000000002"/>
    <s v="N/A"/>
    <m/>
    <s v="Non-structural"/>
    <m/>
    <x v="0"/>
    <s v="N/A"/>
    <s v="N/A"/>
  </r>
  <r>
    <s v="CALO"/>
    <n v="5183"/>
    <s v="Collins Slough WCD"/>
    <s v="FDACS"/>
    <s v="CS-02"/>
    <s v="FDACS BMP Assistance"/>
    <s v="Provide assistance to FDACS, as needed, to encourage landowners to enroll in BMPs."/>
    <s v="Agricultural BMPs"/>
    <x v="0"/>
    <s v="2021"/>
    <x v="0"/>
    <s v="N/A"/>
    <s v="N/A"/>
    <s v="East Caloosahatchee"/>
    <s v="N/A"/>
    <n v="1000"/>
    <s v="N/A"/>
    <s v="Collins Slough WCD"/>
    <s v="$1,000"/>
    <s v="N/A"/>
    <s v="N/A"/>
    <n v="26.649243999999999"/>
    <n v="-81.274416000000002"/>
    <s v="N/A"/>
    <m/>
    <s v="Non-structural"/>
    <m/>
    <x v="0"/>
    <s v="N/A"/>
    <s v="N/A"/>
  </r>
  <r>
    <s v="CALO"/>
    <n v="5184"/>
    <s v="Collins Slough WCD"/>
    <s v="N/A"/>
    <s v="CS-03"/>
    <s v="Nutrient Controls"/>
    <s v="No application of fertilizer in district's rights-of-way."/>
    <s v="Fertilizer Cessation"/>
    <x v="1"/>
    <s v="2021"/>
    <x v="1"/>
    <s v="N/A"/>
    <s v="N/A"/>
    <s v="East Caloosahatchee"/>
    <s v="N/A"/>
    <n v="0"/>
    <s v="N/A"/>
    <s v="Collins Slough WCD"/>
    <s v="N/A"/>
    <s v="N/A"/>
    <s v="N/A"/>
    <n v="26.657171999999999"/>
    <n v="-81.280753000000004"/>
    <s v="N/A"/>
    <m/>
    <s v="Non-structural"/>
    <m/>
    <x v="0"/>
    <s v="N/A"/>
    <s v="N/A"/>
  </r>
  <r>
    <s v="CALO"/>
    <n v="5185"/>
    <s v="Collins Slough WCD"/>
    <s v="N/A"/>
    <s v="CS-04"/>
    <s v="Canal Cleaning Program"/>
    <s v="Review and field evaluation of sediment accumulation and scheduling of removal, when necessary."/>
    <s v="Muck Removal/Restoration Dredging"/>
    <x v="0"/>
    <s v="2021"/>
    <x v="0"/>
    <s v="N/A"/>
    <s v="N/A"/>
    <s v="East Caloosahatchee"/>
    <s v="N/A"/>
    <n v="75000"/>
    <s v="N/A"/>
    <s v="Collins Slough WCD"/>
    <s v="$75,000"/>
    <s v="N/A"/>
    <s v="N/A"/>
    <n v="26.657171999999999"/>
    <n v="-81.280753000000004"/>
    <s v="N/A"/>
    <m/>
    <s v="Non-structural"/>
    <m/>
    <x v="0"/>
    <s v="N/A"/>
    <s v="N/A"/>
  </r>
  <r>
    <s v="CALO"/>
    <n v="5186"/>
    <s v="Collins Slough WCD"/>
    <s v="N/A"/>
    <s v="CS-05"/>
    <s v="Control Structures"/>
    <s v="Annual maintenance of water control structures."/>
    <s v="Control Structure"/>
    <x v="2"/>
    <s v="2021"/>
    <x v="0"/>
    <s v="N/A"/>
    <s v="N/A"/>
    <s v="East Caloosahatchee"/>
    <s v="N/A"/>
    <n v="20000"/>
    <s v="N/A"/>
    <s v="Collins Slough WCD"/>
    <s v="$20,000"/>
    <s v="N/A"/>
    <s v="N/A"/>
    <n v="26.779836"/>
    <n v="-81.233121999999995"/>
    <s v="N/A"/>
    <m/>
    <s v="Structural"/>
    <m/>
    <x v="0"/>
    <s v="N/A"/>
    <s v="N/A"/>
  </r>
  <r>
    <s v="CALO"/>
    <n v="5187"/>
    <s v="Cow Slough WCD"/>
    <s v="DEP/ FDACS"/>
    <s v="CSW-01"/>
    <s v="Public Education and Outreach"/>
    <s v="Updates on BMAP and requirements during annual landowner meetings."/>
    <s v="Education Efforts"/>
    <x v="0"/>
    <s v="2020"/>
    <x v="0"/>
    <s v="N/A"/>
    <s v="N/A"/>
    <s v="West Caloosahatchee"/>
    <s v="N/A"/>
    <n v="500"/>
    <s v="N/A"/>
    <s v="Cow Slough WCD"/>
    <s v="$500"/>
    <s v="N/A"/>
    <s v="N/A"/>
    <n v="26.514897000000001"/>
    <n v="-81.454757999999998"/>
    <s v="N/A"/>
    <m/>
    <s v="Non-structural"/>
    <m/>
    <x v="0"/>
    <s v="N/A"/>
    <s v="N/A"/>
  </r>
  <r>
    <s v="CALO"/>
    <n v="5188"/>
    <s v="Cow Slough WCD"/>
    <s v="FDACS"/>
    <s v="CSW-02"/>
    <s v="FDACS BMP Assistance"/>
    <s v="Provide assistance to FDACS, as needed, to encourage landowners to enroll in BMPs."/>
    <s v="Agricultural BMPs"/>
    <x v="0"/>
    <s v="2020"/>
    <x v="0"/>
    <s v="N/A"/>
    <s v="N/A"/>
    <s v="West Caloosahatchee"/>
    <s v="N/A"/>
    <n v="1000"/>
    <s v="N/A"/>
    <s v="Cow Slough WCD"/>
    <s v="$1,000"/>
    <s v="N/A"/>
    <s v="N/A"/>
    <n v="26.514897000000001"/>
    <n v="-81.454757999999998"/>
    <s v="N/A"/>
    <m/>
    <s v="Non-structural"/>
    <m/>
    <x v="0"/>
    <s v="N/A"/>
    <s v="N/A"/>
  </r>
  <r>
    <s v="CALO"/>
    <n v="5189"/>
    <s v="Cow Slough WCD"/>
    <s v="N/A"/>
    <s v="CSW-03"/>
    <s v="Nutrient Controls"/>
    <s v="No application of fertilizer in district's rights-of-way."/>
    <s v="Fertilizer Cessation"/>
    <x v="1"/>
    <s v="2020"/>
    <x v="1"/>
    <s v="N/A"/>
    <s v="N/A"/>
    <s v="West Caloosahatchee"/>
    <s v="N/A"/>
    <n v="0"/>
    <s v="N/A"/>
    <s v="Cow Slough WCD"/>
    <s v="N/A"/>
    <s v="N/A"/>
    <s v="N/A"/>
    <n v="26.531366999999999"/>
    <n v="-81.46105"/>
    <s v="N/A"/>
    <m/>
    <s v="Non-structural"/>
    <m/>
    <x v="0"/>
    <s v="N/A"/>
    <s v="N/A"/>
  </r>
  <r>
    <s v="CALO"/>
    <n v="5190"/>
    <s v="Cow Slough WCD"/>
    <s v="N/A"/>
    <s v="CSW-04"/>
    <s v="Canal/Ditch Bank Berms"/>
    <s v="Minimize sediment transport by constructing berms on top of canal/ditch banks and promoting vegetation cover."/>
    <s v="Shoreline Stabilization"/>
    <x v="0"/>
    <s v="2020"/>
    <x v="0"/>
    <s v="N/A"/>
    <s v="N/A"/>
    <s v="West Caloosahatchee"/>
    <s v="N/A"/>
    <n v="13000"/>
    <s v="N/A"/>
    <s v="Cow Slough WCD"/>
    <s v="$13,000"/>
    <s v="N/A"/>
    <s v="N/A"/>
    <n v="26.53136722"/>
    <n v="-81.461050400000005"/>
    <s v="N/A"/>
    <m/>
    <s v="Structural"/>
    <m/>
    <x v="0"/>
    <s v="N/A"/>
    <s v="N/A"/>
  </r>
  <r>
    <s v="CALO"/>
    <n v="5191"/>
    <s v="Cow Slough WCD"/>
    <s v="N/A"/>
    <s v="CSW-05"/>
    <s v="Control Structures"/>
    <s v="Annual maintenance of water control structures."/>
    <s v="Control Structure"/>
    <x v="2"/>
    <s v="2020"/>
    <x v="0"/>
    <s v="N/A"/>
    <s v="N/A"/>
    <s v="West Caloosahatchee"/>
    <s v="N/A"/>
    <n v="2500"/>
    <s v="N/A"/>
    <s v="Cow Slough WCD"/>
    <s v="$2,500"/>
    <s v="N/A"/>
    <s v="N/A"/>
    <n v="26.573"/>
    <n v="-81.465186000000003"/>
    <s v="N/A"/>
    <m/>
    <s v="Structural"/>
    <m/>
    <x v="0"/>
    <s v="N/A"/>
    <s v="N/A"/>
  </r>
  <r>
    <s v="CALO"/>
    <n v="4841"/>
    <s v="City of Clewiston"/>
    <s v="N/A"/>
    <s v="CW-01"/>
    <s v="Clewiston Public Education"/>
    <s v="Landscaping, irrigation, fertilizer, and stormwater ordinances; PSAs; pamphlets; website; illicit discharge program."/>
    <s v="Education Efforts"/>
    <x v="2"/>
    <s v="N/A"/>
    <x v="0"/>
    <n v="194.46640778886223"/>
    <n v="29.469053180951033"/>
    <s v="East Caloosahatchee"/>
    <s v="N/A"/>
    <n v="10000"/>
    <s v="N/A"/>
    <s v="City General Fund"/>
    <s v="$10,000"/>
    <s v="N/A"/>
    <s v="N/A"/>
    <n v="26.749203000000001"/>
    <n v="-80.934822999999994"/>
    <s v="N/A"/>
    <s v="N"/>
    <s v="Non-structural"/>
    <s v="Underway"/>
    <x v="0"/>
    <s v="N/A"/>
    <s v="N/A"/>
  </r>
  <r>
    <s v="CALO"/>
    <n v="4842"/>
    <s v="City of Clewiston"/>
    <s v="N/A"/>
    <s v="CW-02"/>
    <s v="Clewiston Street Sweeping"/>
    <s v="215 miles swept."/>
    <s v="Street Sweeping"/>
    <x v="2"/>
    <s v="N/A"/>
    <x v="0"/>
    <n v="74.096807986236243"/>
    <n v="45.305250127760701"/>
    <s v="East Caloosahatchee"/>
    <s v="N/A"/>
    <s v="N/A"/>
    <s v="N/A"/>
    <s v="City General Fund"/>
    <s v="N/A"/>
    <s v="N/A"/>
    <s v="N/A"/>
    <n v="26.749203000000001"/>
    <n v="-80.934822999999994"/>
    <s v="N/A"/>
    <s v="N"/>
    <s v="Non-structural"/>
    <s v="Underway"/>
    <x v="0"/>
    <s v="N/A"/>
    <s v="N/A"/>
  </r>
  <r>
    <s v="CALO"/>
    <n v="4843"/>
    <s v="City of Clewiston"/>
    <s v="N/A"/>
    <s v="CW-03"/>
    <s v="Clewiston Inlet Maintenance"/>
    <s v="40 inlets cleaned."/>
    <s v="Catch Basin Inserts/Inlet Filter Cleanout"/>
    <x v="2"/>
    <s v="N/A"/>
    <x v="0"/>
    <n v="10.460725833350999"/>
    <n v="6.7118889078163999"/>
    <s v="East Caloosahatchee"/>
    <s v="N/A"/>
    <s v="N/A"/>
    <s v="N/A"/>
    <s v="City General Fund"/>
    <s v="N/A"/>
    <s v="N/A"/>
    <s v="N/A"/>
    <n v="26.749203000000001"/>
    <n v="-80.934822999999994"/>
    <s v="N/A"/>
    <s v="N"/>
    <s v="Non-structural"/>
    <s v="Underway"/>
    <x v="0"/>
    <s v="N/A"/>
    <s v="N/A"/>
  </r>
  <r>
    <s v="CALO"/>
    <m/>
    <s v="Hendry County"/>
    <s v="HUD/ DEO"/>
    <s v="HC-01"/>
    <s v="Four Corners MSBU / County Line Ditch Widening"/>
    <s v="Hendry County residents in the vicinity of the project area experience frequent flooding conditions due to the lack of drainage infrastructure capacity. Improvements will allow the upstream watershed to pass through a system that will reduce nutrient loading prior to discharging into the Caloosahatchee River downstream."/>
    <s v="Retention/Detention BMP Retrofit with Nutrient Reducing Media"/>
    <x v="0"/>
    <s v="2021"/>
    <x v="11"/>
    <s v="TBD"/>
    <s v="TBD"/>
    <s v="LaBelle, Hendry County"/>
    <s v="TBD"/>
    <s v="TBD"/>
    <s v="TBD"/>
    <s v="DEO"/>
    <s v="$4,297,112"/>
    <s v="N/A"/>
    <s v="N/A"/>
    <s v="26.748338"/>
    <s v="-81.566183"/>
    <s v="Apply for additional state grant funds as necessary"/>
    <s v="Attached PDF"/>
    <s v="Structural"/>
    <m/>
    <x v="6"/>
    <s v="N/A"/>
    <s v="N/A"/>
  </r>
  <r>
    <s v="CALO"/>
    <m/>
    <s v="Hendry County"/>
    <s v="N/A"/>
    <s v="HC-02"/>
    <s v="North LaBelle Water Quality"/>
    <s v="Provide water quality components to treat stormwater along Mohawk Avenue prior to discharging into the Roy Brown Canal and flowing into the Caloosahatchee River."/>
    <s v="Retention/Detention BMP Retrofit with Nutrient Reducing Media"/>
    <x v="0"/>
    <s v="2023"/>
    <x v="4"/>
    <s v="TBD"/>
    <s v="TBD"/>
    <s v="LaBelle, Hendry County"/>
    <s v="TBD"/>
    <n v="200000"/>
    <s v="TBD"/>
    <s v="North LaBelle Municipal Service Benefit Unit"/>
    <s v="$200,000"/>
    <s v="N/A"/>
    <s v="N/A"/>
    <s v="26.770547"/>
    <s v="-81.454361"/>
    <s v="N/A"/>
    <s v="Attached PDF"/>
    <s v="Structural"/>
    <m/>
    <x v="6"/>
    <s v="N/A"/>
    <s v="N/A"/>
  </r>
  <r>
    <s v="CALO"/>
    <m/>
    <s v="Hendry County"/>
    <s v="DEP/ Port LaBelle Utility System/ City of Clewiston/ Airglades Airport/ Tetra Tech"/>
    <s v="HC-03"/>
    <s v="Phase 1 of a Force Main Extension from Airglades Airport to the City of Clewiston"/>
    <s v="Hendry County plans to construct a force main that will extend from the Airglades Airport to the City of Clewiston. The work consists of constructing a wastewater transmission system to convey raw wastewater from the Airglades Airport WWTP to the City of Clewiston WWTP. The force main will allow the existing Airglades Airport WWTP to be converted to a master pumping station and will transfer wastewater flows to the City of Clewiston’s WWTP."/>
    <s v="WWTF Upgrade"/>
    <x v="3"/>
    <s v="2016"/>
    <x v="11"/>
    <s v="N/A"/>
    <s v="N/A"/>
    <s v="Clewiston, Hendry County"/>
    <s v="N/A"/>
    <n v="1284529.57"/>
    <s v="N/A"/>
    <s v="DEP"/>
    <s v="$1,075,195"/>
    <s v="LPA0086"/>
    <s v="N/A"/>
    <s v="26.725100"/>
    <s v=" -80.954200"/>
    <s v="Apply for additional state grant funds as necessary"/>
    <s v="Attached PDF"/>
    <s v="Structural"/>
    <m/>
    <x v="6"/>
    <s v="N/A"/>
    <s v="N/A"/>
  </r>
  <r>
    <s v="CALO"/>
    <n v="5192"/>
    <s v="Devil's Garden WCD"/>
    <s v="DEP/ FDACS"/>
    <s v="DG-01"/>
    <s v="Public Education and Outreach"/>
    <s v="Updates on BMAP and requirements during annual landowner meetings."/>
    <s v="Education Efforts"/>
    <x v="0"/>
    <s v="2020"/>
    <x v="0"/>
    <s v="N/A"/>
    <s v="N/A"/>
    <s v="West Caloosahatchee"/>
    <s v="N/A"/>
    <n v="500"/>
    <s v="N/A"/>
    <s v="Devil's Garden WCD"/>
    <s v="$500"/>
    <s v="N/A"/>
    <s v="N/A"/>
    <n v="26.594802999999999"/>
    <n v="-81.232530999999994"/>
    <s v="N/A"/>
    <m/>
    <s v="Non-structural"/>
    <m/>
    <x v="0"/>
    <s v="N/A"/>
    <s v="N/A"/>
  </r>
  <r>
    <s v="CALO"/>
    <n v="5193"/>
    <s v="Devil's Garden WCD"/>
    <s v="FDACS"/>
    <s v="DG-02"/>
    <s v="FDACS BMP Assistance"/>
    <s v="Provide assistance to FDACS, as needed, to encourage landowners to enroll in BMPs."/>
    <s v="Agricultural BMPs"/>
    <x v="0"/>
    <s v="2020"/>
    <x v="0"/>
    <s v="N/A"/>
    <s v="N/A"/>
    <s v="West Caloosahatchee"/>
    <s v="N/A"/>
    <n v="1000"/>
    <s v="N/A"/>
    <s v="Devil's Garden WCD"/>
    <s v="$1,000"/>
    <s v="N/A"/>
    <s v="N/A"/>
    <n v="26.594802999999999"/>
    <n v="-81.232530999999994"/>
    <s v="N/A"/>
    <m/>
    <s v="Non-structural"/>
    <m/>
    <x v="0"/>
    <s v="N/A"/>
    <s v="N/A"/>
  </r>
  <r>
    <s v="CALO"/>
    <n v="5194"/>
    <s v="Devil's Garden WCD"/>
    <s v="N/A"/>
    <s v="DG-03"/>
    <s v="Nutrient Controls"/>
    <s v="No application of fertilizer in district's rights-of-way."/>
    <s v="Fertilizer Cessation"/>
    <x v="1"/>
    <s v="2020"/>
    <x v="1"/>
    <s v="N/A"/>
    <s v="N/A"/>
    <s v="West Caloosahatchee"/>
    <s v="N/A"/>
    <n v="0"/>
    <s v="N/A"/>
    <s v="Devil's Garden WCD"/>
    <s v="N/A"/>
    <s v="N/A"/>
    <s v="N/A"/>
    <n v="26.625883000000002"/>
    <n v="-81.236528000000007"/>
    <s v="N/A"/>
    <m/>
    <s v="Non-structural"/>
    <m/>
    <x v="0"/>
    <s v="N/A"/>
    <s v="N/A"/>
  </r>
  <r>
    <s v="CALO"/>
    <n v="5195"/>
    <s v="Devil's Garden WCD"/>
    <s v="N/A"/>
    <s v="DG-04"/>
    <s v="Canal Cleaning Program"/>
    <s v="Review and field evaluation of sediment accumulation and scheduling of removal, when necessary."/>
    <s v="Muck Removal/Restoration Dredging"/>
    <x v="0"/>
    <s v="2020"/>
    <x v="0"/>
    <s v="N/A"/>
    <s v="N/A"/>
    <s v="West Caloosahatchee"/>
    <s v="N/A"/>
    <n v="75000"/>
    <s v="N/A"/>
    <s v="Devil's Garden WCD"/>
    <s v="$75,000"/>
    <s v="N/A"/>
    <s v="N/A"/>
    <n v="26.625883000000002"/>
    <n v="-81.236528000000007"/>
    <s v="N/A"/>
    <m/>
    <s v="Non-structural"/>
    <m/>
    <x v="0"/>
    <s v="N/A"/>
    <s v="N/A"/>
  </r>
  <r>
    <s v="CALO"/>
    <n v="5196"/>
    <s v="Devil's Garden WCD"/>
    <s v="N/A"/>
    <s v="DG-05"/>
    <s v="Control Structures"/>
    <s v="Annual maintenance of water control structures."/>
    <s v="Control Structure"/>
    <x v="2"/>
    <s v="2021"/>
    <x v="0"/>
    <s v="N/A"/>
    <s v="N/A"/>
    <s v="West Caloosahatchee"/>
    <s v="N/A"/>
    <n v="20000"/>
    <s v="N/A"/>
    <s v="Devil's Garden WCD"/>
    <s v="$20,000"/>
    <s v="N/A"/>
    <s v="N/A"/>
    <n v="26.779793999999999"/>
    <n v="-81.233103"/>
    <s v="N/A"/>
    <m/>
    <s v="Structural"/>
    <m/>
    <x v="0"/>
    <s v="N/A"/>
    <s v="N/A"/>
  </r>
  <r>
    <s v="CALO"/>
    <n v="5197"/>
    <s v="Disston Island Conservancy District"/>
    <s v="DEP/ FDACS"/>
    <s v="DI-01"/>
    <s v="Public Education and Outreach"/>
    <s v="Updates on BMAP and requirements during annual landowner meetings."/>
    <s v="Education Efforts"/>
    <x v="0"/>
    <s v="2021"/>
    <x v="0"/>
    <s v="N/A"/>
    <s v="N/A"/>
    <s v="East Caloosahatchee"/>
    <s v="N/A"/>
    <n v="500"/>
    <s v="N/A"/>
    <s v="Disston Island Conservancy District"/>
    <s v="$500"/>
    <s v="N/A"/>
    <s v="N/A"/>
    <n v="27.789338999999998"/>
    <n v="-81.032527999999999"/>
    <s v="N/A"/>
    <m/>
    <s v="Non-structural"/>
    <m/>
    <x v="0"/>
    <s v="N/A"/>
    <s v="N/A"/>
  </r>
  <r>
    <s v="CALO"/>
    <n v="5198"/>
    <s v="Disston Island Conservancy District"/>
    <s v="FDACS"/>
    <s v="DI-02"/>
    <s v="FDACS BMP Assistance"/>
    <s v="Provide assistance to FDACS, as needed, to encourage landowners to enroll in BMPs."/>
    <s v="Agricultural BMPs"/>
    <x v="0"/>
    <s v="2020"/>
    <x v="0"/>
    <s v="N/A"/>
    <s v="N/A"/>
    <s v="East Caloosahatchee"/>
    <s v="N/A"/>
    <n v="1000"/>
    <s v="N/A"/>
    <s v="Disston Island Conservancy District"/>
    <s v="$1,000"/>
    <s v="N/A"/>
    <s v="N/A"/>
    <n v="27.789338999999998"/>
    <n v="-81.032527999999999"/>
    <s v="N/A"/>
    <m/>
    <s v="Non-structural"/>
    <m/>
    <x v="0"/>
    <s v="N/A"/>
    <s v="N/A"/>
  </r>
  <r>
    <s v="CALO"/>
    <n v="5199"/>
    <s v="Disston Island Conservancy District"/>
    <s v="N/A"/>
    <s v="DI-03"/>
    <s v="Nutrient Controls"/>
    <s v="No application of fertilizer in district's rights-of-way."/>
    <s v="Fertilizer Cessation"/>
    <x v="1"/>
    <s v="2020"/>
    <x v="1"/>
    <s v="N/A"/>
    <s v="N/A"/>
    <s v="East Caloosahatchee"/>
    <s v="N/A"/>
    <n v="0"/>
    <s v="N/A"/>
    <s v="Disston Island Conservancy District"/>
    <s v="N/A"/>
    <s v="N/A"/>
    <s v="N/A"/>
    <n v="26.791571999999999"/>
    <n v="-81.027574999999999"/>
    <s v="N/A"/>
    <m/>
    <s v="Non-structural"/>
    <m/>
    <x v="0"/>
    <s v="N/A"/>
    <s v="N/A"/>
  </r>
  <r>
    <s v="CALO"/>
    <n v="5200"/>
    <s v="Disston Island Conservancy District"/>
    <s v="N/A"/>
    <s v="DI-04"/>
    <s v="Slow Velocity in the Main Canal"/>
    <s v="Minimize sediment transport by slowing velocity in main canal near main discharge structure."/>
    <s v="Control Structure"/>
    <x v="0"/>
    <s v="2021"/>
    <x v="10"/>
    <s v="N/A"/>
    <s v="N/A"/>
    <s v="East Caloosahatchee"/>
    <s v="N/A"/>
    <s v="TBD"/>
    <s v="N/A"/>
    <s v="Disston Island Conservancy District"/>
    <s v="TBD"/>
    <s v="N/A"/>
    <s v="N/A"/>
    <n v="26.784144000000001"/>
    <n v="-81.037333000000004"/>
    <s v="N/A"/>
    <m/>
    <s v="Structural"/>
    <m/>
    <x v="0"/>
    <s v="N/A"/>
    <s v="N/A"/>
  </r>
  <r>
    <s v="CALO"/>
    <n v="5201"/>
    <s v="Disston Island Conservancy District"/>
    <s v="N/A"/>
    <s v="DI-05"/>
    <s v="Control Structures"/>
    <s v="Annual maintenance of water control structures."/>
    <s v="Control Structure"/>
    <x v="2"/>
    <s v="2021"/>
    <x v="0"/>
    <s v="N/A"/>
    <s v="N/A"/>
    <s v="East Caloosahatchee"/>
    <s v="N/A"/>
    <s v="TBD"/>
    <s v="N/A"/>
    <s v="Disston Island Conservancy District"/>
    <s v="TBD"/>
    <s v="N/A"/>
    <s v="N/A"/>
    <n v="26.806014000000001"/>
    <n v="-81.029964000000007"/>
    <s v="N/A"/>
    <m/>
    <s v="Structural"/>
    <m/>
    <x v="0"/>
    <s v="N/A"/>
    <s v="N/A"/>
  </r>
  <r>
    <s v="CALO"/>
    <n v="2345"/>
    <s v="FDACS"/>
    <s v="Agricultural Producers"/>
    <s v="FDACS-01"/>
    <s v="BMP Implementation and Verification"/>
    <s v="Enrollment and verification of BMPs by agricultural producers. Attenuated reductions based on HSPF model. Acres treated based on FDACS OAWP December 2020 Enrollment and FSAID VII."/>
    <s v="Agricultural BMPs"/>
    <x v="2"/>
    <s v="N/A"/>
    <x v="0"/>
    <n v="62208"/>
    <n v="2295"/>
    <s v="Tidal Caloosahatchee"/>
    <n v="49057.663228099998"/>
    <s v="N/A"/>
    <s v="N/A"/>
    <s v="FDACS"/>
    <s v="TBD"/>
    <s v="N/A"/>
    <s v="N/A"/>
    <s v="N/A"/>
    <s v="N/A"/>
    <s v="N/A"/>
    <s v="Y"/>
    <s v="Non-structural"/>
    <s v="Ongoing"/>
    <x v="1"/>
    <s v="N/A"/>
    <s v="N/A"/>
  </r>
  <r>
    <s v="CALO"/>
    <n v="4844"/>
    <s v="FDACS"/>
    <s v="Agricultural Producers"/>
    <s v="FDACS-02"/>
    <s v="BMP Implementation and Verification"/>
    <s v="Enrollment and verification of BMPs by agricultural producers. Attenuated reductions based on HSPF model. Acres treated based on FDACS OAWP December 2020 Enrollment and FSAID VII."/>
    <s v="Agricultural BMPs"/>
    <x v="2"/>
    <s v="N/A"/>
    <x v="0"/>
    <n v="178228"/>
    <n v="10123"/>
    <s v="West Caloosahatchee"/>
    <n v="149388.42381099999"/>
    <s v="N/A"/>
    <s v="N/A"/>
    <s v="FDACS"/>
    <s v="TBD"/>
    <s v="N/A"/>
    <s v="N/A"/>
    <s v="N/A"/>
    <s v="N/A"/>
    <s v="N/A"/>
    <s v="Y"/>
    <s v="Non-structural"/>
    <s v="Completed"/>
    <x v="0"/>
    <s v="N/A"/>
    <s v="N/A"/>
  </r>
  <r>
    <s v="CALO"/>
    <n v="4845"/>
    <s v="FDACS"/>
    <s v="Agricultural Producers"/>
    <s v="FDACS-03"/>
    <s v="BMP Implementation and Verification"/>
    <s v="Enrollment and verification of BMPs by agricultural producers. Attenuated reductions based on HSPF model. Acres treated based on FDACS OAWP December 2020 Enrollment and FSAID VII."/>
    <s v="Agricultural BMPs"/>
    <x v="2"/>
    <s v="N/A"/>
    <x v="0"/>
    <n v="119099"/>
    <n v="5298"/>
    <s v="East Caloosahatchee"/>
    <n v="180103.99406999999"/>
    <s v="N/A"/>
    <s v="N/A"/>
    <s v="FDACS"/>
    <s v="TBD"/>
    <s v="N/A"/>
    <s v="N/A"/>
    <s v="N/A"/>
    <s v="N/A"/>
    <s v="N/A"/>
    <s v="Y"/>
    <s v="Non-structural"/>
    <s v="Completed"/>
    <x v="0"/>
    <s v="N/A"/>
    <s v="N/A"/>
  </r>
  <r>
    <s v="CALO"/>
    <n v="4846"/>
    <s v="FDACS"/>
    <s v="Agricultural Producers"/>
    <s v="FDACS-04"/>
    <s v="Cost-Share BMP Projects"/>
    <s v="Cost-share projects paid for by FDACS. Acres treated based on FDACS OAWP June 2020 Enrollment. Reductions estimated by DEP using 2020 BMAP LET."/>
    <s v="Agricultural BMPs"/>
    <x v="2"/>
    <s v="Not provided"/>
    <x v="0"/>
    <n v="20202.717250264785"/>
    <n v="1254.9082908748187"/>
    <s v="Tidal Caloosahatchee"/>
    <n v="7107"/>
    <s v="TBD"/>
    <s v="TBD"/>
    <s v="TBD"/>
    <s v="TBD"/>
    <s v="N/A"/>
    <s v="N/A"/>
    <s v="N/A"/>
    <s v="N/A"/>
    <s v="N/A"/>
    <s v="Y"/>
    <s v="Non-structural"/>
    <s v="Completed"/>
    <x v="0"/>
    <s v="N/A"/>
    <s v="N/A"/>
  </r>
  <r>
    <s v="CALO"/>
    <n v="4847"/>
    <s v="FDACS"/>
    <s v="Agricultural Producers"/>
    <s v="FDACS-05"/>
    <s v="Cost-Share BMP Projects"/>
    <s v="Cost-share projects paid for by FDACS. Acres treated based on FDACS OAWP June 2020 Enrollment. Reductions estimated by DEP using 2020 BMAP LET."/>
    <s v="Agricultural BMPs"/>
    <x v="2"/>
    <s v="Not provided"/>
    <x v="0"/>
    <n v="26873.408849600462"/>
    <n v="1556.1792481877096"/>
    <s v="West Caloosahatchee"/>
    <n v="19341"/>
    <s v="TBD"/>
    <s v="TBD"/>
    <s v="TBD"/>
    <s v="TBD"/>
    <s v="N/A"/>
    <s v="N/A"/>
    <s v="N/A"/>
    <s v="N/A"/>
    <s v="N/A"/>
    <s v="Y"/>
    <s v="Non-structural"/>
    <s v="Completed"/>
    <x v="0"/>
    <s v="N/A"/>
    <s v="N/A"/>
  </r>
  <r>
    <s v="CALO"/>
    <n v="4848"/>
    <s v="FDACS"/>
    <s v="Agricultural Producers"/>
    <s v="FDACS-06"/>
    <s v="Cost-Share BMP Projects"/>
    <s v="Cost-share projects paid for by FDACS. Acres treated based on FDACS OAWP June 2020 Enrollment. Reductions estimated by DEP using 2020 BMAP LET."/>
    <s v="Agricultural BMPs"/>
    <x v="2"/>
    <s v="Not provided"/>
    <x v="0"/>
    <n v="18469.933197654587"/>
    <n v="1069.4887192161029"/>
    <s v="East Caloosahatchee"/>
    <n v="26005"/>
    <s v="TBD"/>
    <s v="TBD"/>
    <s v="TBD"/>
    <s v="TBD"/>
    <s v="N/A"/>
    <s v="N/A"/>
    <s v="N/A"/>
    <s v="N/A"/>
    <s v="N/A"/>
    <s v="Y"/>
    <s v="Non-structural"/>
    <s v="Completed"/>
    <x v="0"/>
    <s v="N/A"/>
    <s v="N/A"/>
  </r>
  <r>
    <s v="CALO"/>
    <n v="2386"/>
    <s v="FDOT District 1"/>
    <s v="N/A"/>
    <s v="FDOT-01"/>
    <s v="Existing Stormwater Dry Ponds"/>
    <s v="Dry detention pond; Facility ID = 12010-3505-01."/>
    <s v="Dry Detention Pond"/>
    <x v="1"/>
    <s v="1997"/>
    <x v="7"/>
    <n v="30.788114170129472"/>
    <s v="TBD"/>
    <s v="Tidal Caloosahatchee"/>
    <n v="2"/>
    <s v="Not provided"/>
    <s v="Not provided"/>
    <s v="Florida Legislature"/>
    <s v="Not provided"/>
    <s v="N/A"/>
    <s v="N/A"/>
    <n v="26.711926245000001"/>
    <n v="-81.901818973999994"/>
    <s v="N/A"/>
    <m/>
    <s v="Structural"/>
    <s v="Completed"/>
    <x v="1"/>
    <n v="15.181724239999999"/>
    <s v="N/A"/>
  </r>
  <r>
    <s v="CALO"/>
    <n v="2384"/>
    <s v="FDOT District 1"/>
    <s v="N/A"/>
    <s v="FDOT-02"/>
    <s v="Existing Stormwater Dry Ponds"/>
    <s v="Dry detention pond; Facility ID = 12060-3530-01."/>
    <s v="Dry Detention Pond"/>
    <x v="1"/>
    <s v="1996"/>
    <x v="7"/>
    <n v="3.73189262668236"/>
    <s v="TBD"/>
    <s v="Tidal Caloosahatchee"/>
    <n v="2"/>
    <s v="Not provided"/>
    <s v="Not provided"/>
    <s v="Florida Legislature"/>
    <s v="Not provided"/>
    <s v="N/A"/>
    <s v="N/A"/>
    <n v="26.681941407"/>
    <n v="-81.903253814999999"/>
    <s v="N/A"/>
    <m/>
    <s v="Structural"/>
    <s v="Completed"/>
    <x v="1"/>
    <n v="1.7100418399999999"/>
    <s v="N/A"/>
  </r>
  <r>
    <s v="CALO"/>
    <n v="2343"/>
    <s v="FDOT District 1"/>
    <s v="N/A"/>
    <s v="FDOT-03"/>
    <s v="Existing Stormwater Dry Ponds"/>
    <s v="Dry detention pond; Facility ID = 12060-3530-02."/>
    <s v="Dry Detention Pond"/>
    <x v="1"/>
    <s v="1996"/>
    <x v="7"/>
    <n v="3.73189262668236"/>
    <s v="TBD"/>
    <s v="Tidal Caloosahatchee"/>
    <n v="2"/>
    <s v="Not provided"/>
    <s v="Not provided"/>
    <s v="Florida Legislature"/>
    <s v="Not provided"/>
    <s v="N/A"/>
    <s v="N/A"/>
    <n v="26.681789792"/>
    <n v="-81.901230369000004"/>
    <s v="N/A"/>
    <m/>
    <s v="Structural"/>
    <s v="Ongoing"/>
    <x v="1"/>
    <n v="1.8778708799999999"/>
    <s v="N/A"/>
  </r>
  <r>
    <s v="CALO"/>
    <n v="2364"/>
    <s v="FDOT District 1"/>
    <s v="N/A"/>
    <s v="FDOT-04"/>
    <s v="Discontinue Fertilization"/>
    <s v="No longer fertilizing rights-of-way in watershed."/>
    <s v="Fertilizer Cessation"/>
    <x v="1"/>
    <s v="2005"/>
    <x v="12"/>
    <n v="1810.9008970976151"/>
    <n v="453.83971559779275"/>
    <s v="Tidal Caloosahatchee"/>
    <n v="465"/>
    <s v="Not provided"/>
    <s v="Not provided"/>
    <s v="Florida Legislature"/>
    <s v="Not provided"/>
    <s v="N/A"/>
    <s v="N/A"/>
    <s v="N/A"/>
    <s v="N/A"/>
    <s v="N/A"/>
    <m/>
    <s v="Non-structural"/>
    <s v="Ongoing"/>
    <x v="1"/>
    <n v="880.42207199999996"/>
    <s v="N/A"/>
  </r>
  <r>
    <s v="CALO"/>
    <n v="2362"/>
    <s v="FDOT District 1"/>
    <s v="N/A"/>
    <s v="FDOT-05"/>
    <s v="Education Efforts"/>
    <s v="Pamphlets, PSAs, illicit discharge program."/>
    <s v="Education Efforts"/>
    <x v="2"/>
    <s v="2005"/>
    <x v="0"/>
    <n v="252.90699958457918"/>
    <n v="53.670550967361258"/>
    <s v="Tidal Caloosahatchee"/>
    <s v="N/A"/>
    <s v="Not provided"/>
    <s v="Not provided"/>
    <s v="Florida Legislature"/>
    <s v="Not provided"/>
    <s v="N/A"/>
    <s v="N/A"/>
    <s v="N/A"/>
    <s v="N/A"/>
    <s v="N/A"/>
    <m/>
    <s v="Non-structural"/>
    <s v="Completed"/>
    <x v="1"/>
    <n v="105.233344"/>
    <s v="N/A"/>
  </r>
  <r>
    <s v="CALO"/>
    <n v="2360"/>
    <s v="FDOT District 1"/>
    <s v="N/A"/>
    <s v="FDOT-06"/>
    <s v="Street Sweeping"/>
    <s v="Street sweeping."/>
    <s v="Street Sweeping"/>
    <x v="2"/>
    <s v="2002"/>
    <x v="0"/>
    <n v="473.01739043198916"/>
    <n v="346.22823664161507"/>
    <s v="Tidal Caloosahatchee"/>
    <s v="N/A"/>
    <s v="Not provided"/>
    <s v="Not provided"/>
    <s v="Florida Legislature"/>
    <s v="Not provided"/>
    <s v="N/A"/>
    <s v="N/A"/>
    <s v="N/A"/>
    <s v="N/A"/>
    <s v="N/A"/>
    <m/>
    <s v="Non-structural"/>
    <s v="Completed"/>
    <x v="1"/>
    <n v="598.74192840000001"/>
    <s v="N/A"/>
  </r>
  <r>
    <s v="CALO"/>
    <n v="2358"/>
    <s v="FDOT District 1"/>
    <s v="N/A"/>
    <s v="FDOT-07"/>
    <s v="Ditch Blocked Swales"/>
    <s v="Swales with ditch blocks. Facility ID = 12020-3538-02."/>
    <s v="Grass Swales with Swale Blocks or Raised Culverts"/>
    <x v="1"/>
    <s v="1990"/>
    <x v="7"/>
    <n v="273.36113490448287"/>
    <s v="TBD"/>
    <s v="Tidal Caloosahatchee"/>
    <n v="56"/>
    <s v="Not provided"/>
    <s v="Not provided"/>
    <s v="Florida Legislature"/>
    <s v="Not provided"/>
    <s v="N/A"/>
    <s v="N/A"/>
    <n v="26.689021"/>
    <n v="-81.790369999999996"/>
    <s v="N/A"/>
    <m/>
    <s v="Structural"/>
    <s v="Completed"/>
    <x v="1"/>
    <n v="132.77545024"/>
    <s v="N/A"/>
  </r>
  <r>
    <s v="CALO"/>
    <n v="2280"/>
    <s v="FDOT District 1"/>
    <s v="N/A"/>
    <s v="FDOT-08"/>
    <s v="Ditch Blocked Swales"/>
    <s v="Swales with ditch blocks. Facility ID = 12020-3541-01."/>
    <s v="Grass Swales with Swale Blocks or Raised Culverts"/>
    <x v="1"/>
    <s v="1989"/>
    <x v="7"/>
    <n v="179.13084608075329"/>
    <s v="TBD"/>
    <s v="Tidal Caloosahatchee"/>
    <n v="55"/>
    <s v="Not provided"/>
    <s v="Not provided"/>
    <s v="Florida Legislature"/>
    <s v="Not provided"/>
    <s v="N/A"/>
    <s v="N/A"/>
    <n v="26.710180999999999"/>
    <n v="-81.719172"/>
    <s v="N/A"/>
    <m/>
    <s v="Structural"/>
    <s v="Completed"/>
    <x v="1"/>
    <n v="87.284708559999999"/>
    <s v="N/A"/>
  </r>
  <r>
    <s v="CALO"/>
    <n v="2281"/>
    <s v="FDOT District 1"/>
    <s v="N/A"/>
    <s v="FDOT-09"/>
    <s v="Ditch Blocked Swales"/>
    <s v="Swales with ditch blocks."/>
    <s v="Grass Swales with Swale Blocks or Raised Culverts"/>
    <x v="1"/>
    <s v="N/A"/>
    <x v="7"/>
    <n v="318.14384642467121"/>
    <s v="TBD"/>
    <s v="Tidal Caloosahatchee"/>
    <n v="55"/>
    <s v="Not provided"/>
    <s v="Not provided"/>
    <s v="Florida Legislature"/>
    <s v="Not provided"/>
    <s v="N/A"/>
    <s v="N/A"/>
    <s v="N/A"/>
    <s v="N/A"/>
    <s v="N/A"/>
    <m/>
    <s v="Structural"/>
    <m/>
    <x v="1"/>
    <n v="154.61136912000001"/>
    <s v="N/A"/>
  </r>
  <r>
    <s v="CALO"/>
    <n v="2303"/>
    <s v="FDOT District 1"/>
    <s v="N/A"/>
    <s v="FDOT-10"/>
    <s v="Swales without Ditch Blocks"/>
    <s v="Swales without blocks."/>
    <s v="Grass Swales without Swale Blocks or Raised Culverts"/>
    <x v="1"/>
    <s v="N/A"/>
    <x v="7"/>
    <n v="4617.2841523627503"/>
    <s v="TBD"/>
    <s v="Tidal Caloosahatchee"/>
    <n v="1353"/>
    <s v="Not provided"/>
    <s v="Not provided"/>
    <s v="Florida Legislature"/>
    <s v="Not provided"/>
    <s v="N/A"/>
    <s v="N/A"/>
    <s v="N/A"/>
    <s v="N/A"/>
    <s v="N/A"/>
    <m/>
    <s v="Structural"/>
    <m/>
    <x v="1"/>
    <n v="2244.8268079999998"/>
    <s v="N/A"/>
  </r>
  <r>
    <s v="CALO"/>
    <n v="2317"/>
    <s v="FDOT District 1"/>
    <s v="N/A"/>
    <s v="FDOT-11"/>
    <s v="Existing Stormwater Wet Ponds"/>
    <s v="F12001-3516-01."/>
    <s v="Wet Detention Pond"/>
    <x v="1"/>
    <s v="1995"/>
    <x v="7"/>
    <n v="224.84653075761219"/>
    <s v="TBD"/>
    <s v="Tidal Caloosahatchee"/>
    <n v="14.090909090909092"/>
    <s v="Not provided"/>
    <s v="Not provided"/>
    <s v="Florida Legislature"/>
    <s v="Not provided"/>
    <s v="N/A"/>
    <s v="N/A"/>
    <n v="26.671697717000001"/>
    <n v="-81.880446504999995"/>
    <s v="N/A"/>
    <m/>
    <s v="Structural"/>
    <m/>
    <x v="1"/>
    <n v="9.919044892561983"/>
    <s v="N/A"/>
  </r>
  <r>
    <s v="CALO"/>
    <n v="2305"/>
    <s v="FDOT District 1"/>
    <s v="N/A"/>
    <s v="FDOT-12"/>
    <s v="Existing Stormwater Wet Ponds"/>
    <s v="F12001-3516-02."/>
    <s v="Wet Detention Pond"/>
    <x v="1"/>
    <s v="1995"/>
    <x v="7"/>
    <n v="224.84653075761219"/>
    <s v="TBD"/>
    <s v="Tidal Caloosahatchee"/>
    <n v="14.090909090909092"/>
    <s v="Not provided"/>
    <s v="Not provided"/>
    <s v="Florida Legislature"/>
    <s v="Not provided"/>
    <s v="N/A"/>
    <s v="N/A"/>
    <n v="26.673893198999998"/>
    <n v="-81.881785058999995"/>
    <s v="N/A"/>
    <m/>
    <s v="Structural"/>
    <m/>
    <x v="1"/>
    <n v="9.919044892561983"/>
    <s v="N/A"/>
  </r>
  <r>
    <s v="CALO"/>
    <n v="2294"/>
    <s v="FDOT District 1"/>
    <s v="N/A"/>
    <s v="FDOT-13"/>
    <s v="Existing Stormwater Wet Ponds"/>
    <s v="F12040-3514-01."/>
    <s v="Wet Detention Pond"/>
    <x v="1"/>
    <s v="2002"/>
    <x v="7"/>
    <n v="224.84653075761219"/>
    <s v="TBD"/>
    <s v="Tidal Caloosahatchee"/>
    <n v="14.090909090909092"/>
    <s v="Not provided"/>
    <s v="Not provided"/>
    <s v="Florida Legislature"/>
    <s v="Not provided"/>
    <s v="N/A"/>
    <s v="N/A"/>
    <n v="26.543035991"/>
    <n v="-81.915922687999995"/>
    <s v="N/A"/>
    <m/>
    <s v="Structural"/>
    <m/>
    <x v="1"/>
    <n v="9.919044892561983"/>
    <s v="N/A"/>
  </r>
  <r>
    <s v="CALO"/>
    <n v="2307"/>
    <s v="FDOT District 1"/>
    <s v="N/A"/>
    <s v="FDOT-14"/>
    <s v="Existing Stormwater Wet Ponds"/>
    <s v="F12040-3515-01."/>
    <s v="Wet Detention Pond"/>
    <x v="1"/>
    <s v="2002"/>
    <x v="7"/>
    <n v="224.84653075761219"/>
    <s v="TBD"/>
    <s v="Tidal Caloosahatchee"/>
    <n v="14.090909090909092"/>
    <s v="Not provided"/>
    <s v="Not provided"/>
    <s v="Florida Legislature"/>
    <s v="Not provided"/>
    <s v="N/A"/>
    <s v="N/A"/>
    <n v="26.517719459999999"/>
    <n v="-81.939988489000001"/>
    <s v="N/A"/>
    <m/>
    <s v="Structural"/>
    <m/>
    <x v="1"/>
    <n v="9.919044892561983"/>
    <s v="N/A"/>
  </r>
  <r>
    <s v="CALO"/>
    <n v="2308"/>
    <s v="FDOT District 1"/>
    <s v="N/A"/>
    <s v="FDOT-15"/>
    <s v="Existing Stormwater Wet Ponds"/>
    <s v="F12040-3515-02."/>
    <s v="Wet Detention Pond"/>
    <x v="1"/>
    <s v="2002"/>
    <x v="7"/>
    <n v="224.84653075761219"/>
    <s v="TBD"/>
    <s v="Tidal Caloosahatchee"/>
    <n v="14.090909090909092"/>
    <s v="Not provided"/>
    <s v="Not provided"/>
    <s v="Florida Legislature"/>
    <s v="Not provided"/>
    <s v="N/A"/>
    <s v="N/A"/>
    <n v="26.525744062000001"/>
    <n v="-81.935121139000003"/>
    <s v="N/A"/>
    <m/>
    <s v="Structural"/>
    <m/>
    <x v="1"/>
    <n v="9.919044892561983"/>
    <s v="N/A"/>
  </r>
  <r>
    <s v="CALO"/>
    <n v="2309"/>
    <s v="FDOT District 1"/>
    <s v="N/A"/>
    <s v="FDOT-16"/>
    <s v="Existing Stormwater Wet Ponds"/>
    <s v="F12040-3515-03."/>
    <s v="Wet Detention Pond"/>
    <x v="1"/>
    <s v="2002"/>
    <x v="7"/>
    <n v="224.84653075761219"/>
    <s v="TBD"/>
    <s v="Tidal Caloosahatchee"/>
    <n v="14.090909090909092"/>
    <s v="Not provided"/>
    <s v="Not provided"/>
    <s v="Florida Legislature"/>
    <s v="Not provided"/>
    <s v="N/A"/>
    <s v="N/A"/>
    <n v="26.536900395"/>
    <n v="-81.920548275000002"/>
    <s v="N/A"/>
    <m/>
    <s v="Structural"/>
    <m/>
    <x v="1"/>
    <n v="9.919044892561983"/>
    <s v="N/A"/>
  </r>
  <r>
    <s v="CALO"/>
    <n v="2310"/>
    <s v="FDOT District 1"/>
    <s v="N/A"/>
    <s v="FDOT-17"/>
    <s v="Existing Stormwater Wet Ponds"/>
    <s v="F12040-3515-04."/>
    <s v="Wet Detention Pond"/>
    <x v="1"/>
    <s v="2002"/>
    <x v="7"/>
    <n v="224.84653075761219"/>
    <s v="TBD"/>
    <s v="Tidal Caloosahatchee"/>
    <n v="14.090909090909092"/>
    <s v="Not provided"/>
    <s v="Not provided"/>
    <s v="Florida Legislature"/>
    <s v="Not provided"/>
    <s v="N/A"/>
    <s v="N/A"/>
    <n v="26.539337527000001"/>
    <n v="-81.917593338000003"/>
    <s v="N/A"/>
    <m/>
    <s v="Structural"/>
    <m/>
    <x v="1"/>
    <n v="9.919044892561983"/>
    <s v="N/A"/>
  </r>
  <r>
    <s v="CALO"/>
    <n v="2311"/>
    <s v="FDOT District 1"/>
    <s v="N/A"/>
    <s v="FDOT-18"/>
    <s v="Existing Stormwater Wet Ponds"/>
    <s v="F12060-3530-03."/>
    <s v="Wet Detention Pond"/>
    <x v="1"/>
    <s v="1996"/>
    <x v="7"/>
    <n v="224.84653075761219"/>
    <s v="TBD"/>
    <s v="Tidal Caloosahatchee"/>
    <n v="14.090909090909092"/>
    <s v="Not provided"/>
    <s v="Not provided"/>
    <s v="Florida Legislature"/>
    <s v="Not provided"/>
    <s v="N/A"/>
    <s v="N/A"/>
    <n v="26.681556330999999"/>
    <n v="-81.896776259999996"/>
    <s v="N/A"/>
    <m/>
    <s v="Structural"/>
    <m/>
    <x v="1"/>
    <n v="9.919044892561983"/>
    <s v="N/A"/>
  </r>
  <r>
    <s v="CALO"/>
    <n v="2312"/>
    <s v="FDOT District 1"/>
    <s v="N/A"/>
    <s v="FDOT-19"/>
    <s v="Existing Stormwater Wet Ponds"/>
    <s v="F12060-3533-01."/>
    <s v="Wet Detention Pond"/>
    <x v="1"/>
    <s v="2002"/>
    <x v="7"/>
    <n v="224.84653075761219"/>
    <s v="TBD"/>
    <s v="Tidal Caloosahatchee"/>
    <n v="14.090909090909092"/>
    <s v="Not provided"/>
    <s v="Not provided"/>
    <s v="Florida Legislature"/>
    <s v="Not provided"/>
    <s v="N/A"/>
    <s v="N/A"/>
    <n v="26.689441000999999"/>
    <n v="-81.860182258999998"/>
    <s v="N/A"/>
    <m/>
    <s v="Structural"/>
    <m/>
    <x v="1"/>
    <n v="9.919044892561983"/>
    <s v="N/A"/>
  </r>
  <r>
    <s v="CALO"/>
    <n v="2313"/>
    <s v="FDOT District 1"/>
    <s v="N/A"/>
    <s v="FDOT-20"/>
    <s v="Existing Stormwater Wet Ponds"/>
    <s v="F12060-3533-02."/>
    <s v="Wet Detention Pond"/>
    <x v="1"/>
    <s v="2002"/>
    <x v="7"/>
    <n v="224.84653075761219"/>
    <s v="TBD"/>
    <s v="Tidal Caloosahatchee"/>
    <n v="14.090909090909092"/>
    <s v="Not provided"/>
    <s v="Not provided"/>
    <s v="Florida Legislature"/>
    <s v="Not provided"/>
    <s v="N/A"/>
    <s v="N/A"/>
    <n v="26.695392183999999"/>
    <n v="-81.854999487000001"/>
    <s v="N/A"/>
    <m/>
    <s v="Structural"/>
    <m/>
    <x v="1"/>
    <n v="9.919044892561983"/>
    <s v="N/A"/>
  </r>
  <r>
    <s v="CALO"/>
    <n v="2314"/>
    <s v="FDOT District 1"/>
    <s v="N/A"/>
    <s v="FDOT-21"/>
    <s v="Existing Stormwater Wet Ponds"/>
    <s v="F12060-3533-03."/>
    <s v="Wet Detention Pond"/>
    <x v="1"/>
    <s v="2002"/>
    <x v="7"/>
    <n v="224.84653075761219"/>
    <s v="TBD"/>
    <s v="Tidal Caloosahatchee"/>
    <n v="14.090909090909092"/>
    <s v="Not provided"/>
    <s v="Not provided"/>
    <s v="Florida Legislature"/>
    <s v="Not provided"/>
    <s v="N/A"/>
    <s v="N/A"/>
    <n v="26.697306871999999"/>
    <n v="-81.849894698"/>
    <s v="N/A"/>
    <m/>
    <s v="Structural"/>
    <m/>
    <x v="1"/>
    <n v="9.919044892561983"/>
    <s v="N/A"/>
  </r>
  <r>
    <s v="CALO"/>
    <n v="2315"/>
    <s v="FDOT District 1"/>
    <s v="N/A"/>
    <s v="FDOT-22"/>
    <s v="State Road (SR) 78 Project"/>
    <s v="Wet detention pond. FM195705-1, Pond SMF 1A."/>
    <s v="Wet Detention Pond"/>
    <x v="1"/>
    <s v="2009"/>
    <x v="7"/>
    <n v="35.651003505985756"/>
    <n v="10.49469663351112"/>
    <s v="Tidal Caloosahatchee"/>
    <n v="20"/>
    <s v="Not provided"/>
    <s v="Not provided"/>
    <s v="Florida Legislature"/>
    <s v="Not provided"/>
    <s v="N/A"/>
    <s v="N/A"/>
    <n v="26.701329999999999"/>
    <n v="-81.846770000000006"/>
    <s v="N/A"/>
    <m/>
    <s v="Structural"/>
    <m/>
    <x v="1"/>
    <n v="17.327214400000003"/>
    <s v="N/A"/>
  </r>
  <r>
    <s v="CALO"/>
    <n v="2316"/>
    <s v="FDOT District 1"/>
    <s v="N/A"/>
    <s v="FDOT-23"/>
    <s v="State Road (SR) 78 Project"/>
    <s v="Wet detention pond. FM195705-1, Pond SMF 1D."/>
    <s v="Wet Detention Pond"/>
    <x v="1"/>
    <s v="2009"/>
    <x v="7"/>
    <n v="43.810534831474435"/>
    <n v="12.055807936960472"/>
    <s v="Tidal Caloosahatchee"/>
    <n v="20"/>
    <s v="Not provided"/>
    <s v="Not provided"/>
    <s v="Florida Legislature"/>
    <s v="Not provided"/>
    <s v="N/A"/>
    <s v="N/A"/>
    <n v="26.703869439999998"/>
    <n v="-81.847222220000006"/>
    <s v="N/A"/>
    <m/>
    <s v="Structural"/>
    <m/>
    <x v="1"/>
    <n v="21.318823999999999"/>
    <s v="N/A"/>
  </r>
  <r>
    <s v="CALO"/>
    <n v="2295"/>
    <s v="FDOT District 1"/>
    <s v="N/A"/>
    <s v="FDOT-24"/>
    <s v="State Road (SR) 78 Project"/>
    <s v="Wet detention pond. FM195705-1, Pond SMF 2B."/>
    <s v="Wet Detention Pond"/>
    <x v="1"/>
    <s v="2009"/>
    <x v="7"/>
    <n v="66.746317747412149"/>
    <n v="18.070019982309514"/>
    <s v="Tidal Caloosahatchee"/>
    <n v="20"/>
    <s v="Not provided"/>
    <s v="Not provided"/>
    <s v="Florida Legislature"/>
    <s v="Not provided"/>
    <s v="N/A"/>
    <s v="N/A"/>
    <n v="26.70881"/>
    <n v="-81.837280000000007"/>
    <s v="N/A"/>
    <m/>
    <s v="Structural"/>
    <m/>
    <x v="1"/>
    <n v="32.422756159999999"/>
    <s v="N/A"/>
  </r>
  <r>
    <s v="CALO"/>
    <n v="2359"/>
    <s v="FDOT District 1"/>
    <s v="N/A"/>
    <s v="FDOT-25"/>
    <s v="State Road (SR) 78 Project"/>
    <s v="Wet detention pond. FM195705-1, Pond SMF 4C."/>
    <s v="Wet Detention Pond"/>
    <x v="1"/>
    <s v="2009"/>
    <x v="7"/>
    <n v="100.52890256119154"/>
    <n v="27.222838529015942"/>
    <s v="Tidal Caloosahatchee"/>
    <n v="20"/>
    <s v="Not provided"/>
    <s v="Not provided"/>
    <s v="Florida Legislature"/>
    <s v="Not provided"/>
    <s v="N/A"/>
    <s v="N/A"/>
    <n v="26.71228"/>
    <n v="-81.826790000000003"/>
    <s v="N/A"/>
    <m/>
    <s v="Structural"/>
    <m/>
    <x v="1"/>
    <n v="48.829178800000001"/>
    <s v="N/A"/>
  </r>
  <r>
    <s v="CALO"/>
    <n v="4367"/>
    <s v="FDOT District 1"/>
    <s v="N/A"/>
    <s v="FDOT-26"/>
    <s v="SR 82 from Lee Blvd to Shawnee Road"/>
    <s v="Funding Partnership with LAMSID (formerly known as [fka] ECWCD) for SW Weirs Project."/>
    <s v="Control Structure"/>
    <x v="1"/>
    <s v="Not provided"/>
    <x v="13"/>
    <s v="N/A"/>
    <s v="N/A"/>
    <s v="Tidal Caloosahatchee"/>
    <s v="Not provided"/>
    <s v="Not provided"/>
    <s v="Not provided"/>
    <s v="FDOT/ DEP/ LA-MSID"/>
    <s v="Not provided"/>
    <s v="N/A"/>
    <s v="N/A"/>
    <n v="26.58864573"/>
    <n v="-81.729498280000001"/>
    <s v="N/A"/>
    <m/>
    <s v="Structural"/>
    <s v="Completed"/>
    <x v="5"/>
    <s v="Not provided"/>
    <s v="Not provided"/>
  </r>
  <r>
    <s v="CALO"/>
    <n v="4368"/>
    <s v="FDOT District 1"/>
    <s v="N/A"/>
    <s v="FDOT-27"/>
    <s v="SR 82 from Lee Blvd to Shawnee Road"/>
    <s v="Funding Partnership with LAMSID (fka ECWCD) for West Marsh Preserve."/>
    <s v="Stormwater Treatment Areas (STAs)"/>
    <x v="3"/>
    <s v="2017"/>
    <x v="1"/>
    <s v="N/A"/>
    <s v="N/A"/>
    <s v="Tidal Caloosahatchee"/>
    <s v="Not provided"/>
    <s v="Not provided"/>
    <s v="Not provided"/>
    <s v="FDOT/ DEP/ LA-MSID"/>
    <s v="Not provided"/>
    <s v="N/A"/>
    <s v="N/A"/>
    <n v="26.586514600000001"/>
    <n v="-81.724697129999996"/>
    <s v="N/A"/>
    <m/>
    <s v="Structural"/>
    <s v="Underway"/>
    <x v="5"/>
    <s v="Not provided"/>
    <s v="Not provided"/>
  </r>
  <r>
    <s v="CALO"/>
    <n v="4849"/>
    <s v="FDOT District 1"/>
    <s v="N/A"/>
    <s v="FDOT-28"/>
    <s v="SR 82 from Shawnee Rd to Alabama Road"/>
    <s v="Funding Partnership with LAMSID (fka ECWCD) for Moving Water South PH II, Hendry Canal Widening."/>
    <s v="Regional Stormwater Treatment"/>
    <x v="3"/>
    <s v="2018"/>
    <x v="1"/>
    <s v="N/A"/>
    <s v="N/A"/>
    <s v="Tidal Caloosahatchee"/>
    <s v="Not provided"/>
    <s v="Not provided"/>
    <s v="Not provided"/>
    <s v="FDOT/ LA-MSID"/>
    <s v="Not provided"/>
    <s v="N/A"/>
    <s v="N/A"/>
    <n v="26.564174919999999"/>
    <n v="-81.67332949"/>
    <s v="N/A"/>
    <m/>
    <s v="Structural"/>
    <s v="Underway"/>
    <x v="0"/>
    <s v="N/A"/>
    <s v="N/A"/>
  </r>
  <r>
    <s v="CALO"/>
    <n v="4850"/>
    <s v="FDOT District 1"/>
    <s v="N/A"/>
    <s v="FDOT-29"/>
    <s v="SR 80 from Dalton Lane to CR 833 (408286-5 &amp;-6)"/>
    <s v="Widening project provided extra nutrient removal in treatment ponds."/>
    <s v="Wet Detention Pond"/>
    <x v="1"/>
    <s v="2017"/>
    <x v="1"/>
    <s v="TBD"/>
    <s v="TBD"/>
    <s v="West Caloosahatchee"/>
    <s v="Not provided"/>
    <s v="Not provided"/>
    <s v="Not provided"/>
    <s v="FDOT"/>
    <s v="Not provided"/>
    <s v="N/A"/>
    <s v="Not provided"/>
    <n v="26.768470499999999"/>
    <n v="-81.306359999999998"/>
    <s v="N/A"/>
    <m/>
    <s v="Structural"/>
    <s v="Underway"/>
    <x v="0"/>
    <s v="N/A"/>
    <s v="N/A"/>
  </r>
  <r>
    <s v="CALO"/>
    <n v="4851"/>
    <s v="FDOT District 1"/>
    <s v="N/A"/>
    <s v="FDOT-30"/>
    <s v="SR 82 from Gator Slough Lane to SR 29 (430849-1)"/>
    <s v="Widening project provided extra nutrient removal in treatment ponds."/>
    <s v="Wet Detention Pond"/>
    <x v="3"/>
    <s v="2019"/>
    <x v="11"/>
    <s v="TBD"/>
    <s v="TBD"/>
    <s v="West Caloosahatchee"/>
    <s v="Not provided"/>
    <s v="Not provided"/>
    <s v="Not provided"/>
    <s v="FDOT"/>
    <s v="Not provided"/>
    <s v="N/A"/>
    <s v="N/A"/>
    <n v="26.494457839999999"/>
    <n v="-81.469266090000005"/>
    <s v="N/A"/>
    <m/>
    <s v="Structural"/>
    <s v="Underway"/>
    <x v="0"/>
    <s v="N/A"/>
    <s v="N/A"/>
  </r>
  <r>
    <s v="CALO"/>
    <n v="5202"/>
    <s v="FDOT District 1"/>
    <s v="Lee County"/>
    <s v="FDOT-31"/>
    <s v="Six Mile Cypress Preserve North Hydrologic Restoration project"/>
    <s v="Hydrologic restoration project."/>
    <s v="Hydrologic Restoration"/>
    <x v="1"/>
    <s v="Not provided"/>
    <x v="12"/>
    <n v="718.12984314480002"/>
    <n v="134.12577845138"/>
    <s v="Tidal Caloosahatchee"/>
    <n v="114.3"/>
    <n v="1799539"/>
    <n v="70260"/>
    <s v="County/ SFWMD/ FDOT"/>
    <s v="$567,500"/>
    <s v="N/A"/>
    <s v="Not provided"/>
    <n v="26.6350564"/>
    <n v="-81.770097980000003"/>
    <s v="N/A"/>
    <m/>
    <s v="Structural"/>
    <m/>
    <x v="0"/>
    <s v="N/A"/>
    <s v="N/A"/>
  </r>
  <r>
    <s v="CALO"/>
    <n v="5203"/>
    <s v="Flaghole Drainage District"/>
    <s v="DEP/ FDACS"/>
    <s v="FH-01"/>
    <s v="Public Education and Outreach"/>
    <s v="Updates on BMAP and requirements during annual landowner meetings."/>
    <s v="Education Efforts"/>
    <x v="0"/>
    <s v="2020"/>
    <x v="0"/>
    <s v="N/A"/>
    <s v="N/A"/>
    <s v="East Caloosahatchee"/>
    <s v="N/A"/>
    <n v="500"/>
    <s v="N/A"/>
    <s v="Flaghole Drainage District"/>
    <s v="$500"/>
    <s v="N/A"/>
    <s v="N/A"/>
    <n v="26.709992"/>
    <n v="-81.049955999999995"/>
    <s v="N/A"/>
    <m/>
    <s v="Non-structural"/>
    <m/>
    <x v="0"/>
    <s v="N/A"/>
    <s v="N/A"/>
  </r>
  <r>
    <s v="CALO"/>
    <n v="5204"/>
    <s v="Flaghole Drainage District"/>
    <s v="FDACS"/>
    <s v="FH-02"/>
    <s v="FDACS BMP Assistance"/>
    <s v="Provide assistance to FDACS, as needed, to encourage landowners to enroll in BMPs."/>
    <s v="Agricultural BMPs"/>
    <x v="0"/>
    <s v="2020"/>
    <x v="0"/>
    <s v="N/A"/>
    <s v="N/A"/>
    <s v="East Caloosahatchee"/>
    <s v="N/A"/>
    <n v="1000"/>
    <s v="N/A"/>
    <s v="Flaghole Drainage District"/>
    <s v="$1,000"/>
    <s v="N/A"/>
    <s v="N/A"/>
    <n v="26.709992"/>
    <n v="-81.049955999999995"/>
    <s v="N/A"/>
    <m/>
    <s v="Non-structural"/>
    <m/>
    <x v="0"/>
    <s v="N/A"/>
    <s v="N/A"/>
  </r>
  <r>
    <s v="CALO"/>
    <n v="5205"/>
    <s v="Flaghole Drainage District"/>
    <s v="N/A"/>
    <s v="FH-03"/>
    <s v="Nutrient Controls"/>
    <s v="No application of fertilizer in district's rights-of-way."/>
    <s v="Fertilizer Cessation"/>
    <x v="1"/>
    <s v="2020"/>
    <x v="1"/>
    <s v="N/A"/>
    <s v="N/A"/>
    <s v="East Caloosahatchee"/>
    <s v="N/A"/>
    <n v="0"/>
    <s v="N/A"/>
    <s v="Flaghole Drainage District"/>
    <s v="N/A"/>
    <s v="N/A"/>
    <s v="N/A"/>
    <n v="26.724083"/>
    <n v="-81.078433000000004"/>
    <s v="N/A"/>
    <m/>
    <s v="Non-structural"/>
    <m/>
    <x v="0"/>
    <s v="N/A"/>
    <s v="N/A"/>
  </r>
  <r>
    <s v="CALO"/>
    <n v="5206"/>
    <s v="Flaghole Drainage District"/>
    <s v="N/A"/>
    <s v="FH-04"/>
    <s v="Slow Velocity in the Main Canal"/>
    <s v="Minimize sediment transport by slowing the velocity in main canal near main discharge structure."/>
    <s v="Control Structure"/>
    <x v="0"/>
    <s v="2021"/>
    <x v="10"/>
    <s v="N/A"/>
    <s v="N/A"/>
    <s v="East Caloosahatchee"/>
    <s v="N/A"/>
    <n v="15000"/>
    <s v="N/A"/>
    <s v="Flaghole Drainage District"/>
    <s v="$15,000"/>
    <s v="N/A"/>
    <s v="N/A"/>
    <n v="26.724083"/>
    <n v="-81.078433000000004"/>
    <s v="N/A"/>
    <m/>
    <s v="Structural"/>
    <m/>
    <x v="0"/>
    <s v="N/A"/>
    <s v="N/A"/>
  </r>
  <r>
    <s v="CALO"/>
    <n v="5207"/>
    <s v="Flaghole Drainage District"/>
    <s v="N/A"/>
    <s v="FH-05"/>
    <s v="Control Structures"/>
    <s v="Annual maintenance of water control structures."/>
    <s v="Control Structure"/>
    <x v="2"/>
    <s v="2021"/>
    <x v="0"/>
    <s v="N/A"/>
    <s v="N/A"/>
    <s v="East Caloosahatchee"/>
    <s v="N/A"/>
    <n v="20000"/>
    <s v="N/A"/>
    <s v="Flaghole Drainage District"/>
    <s v="$20,000"/>
    <s v="N/A"/>
    <s v="N/A"/>
    <n v="26.769349999999999"/>
    <n v="-81.114063999999999"/>
    <s v="N/A"/>
    <m/>
    <s v="Structural"/>
    <m/>
    <x v="0"/>
    <s v="N/A"/>
    <s v="N/A"/>
  </r>
  <r>
    <s v="CALO"/>
    <n v="2367"/>
    <s v="City of Fort Myers"/>
    <s v="Not provided"/>
    <s v="FM-01"/>
    <s v="Country Club Neighborhood Exfiltration Trenches"/>
    <s v="Exfiltration trenches."/>
    <s v="Exfiltration Trench"/>
    <x v="1"/>
    <s v="Not provided"/>
    <x v="7"/>
    <n v="213.73085669413214"/>
    <n v="26.776340056296988"/>
    <s v="Tidal Caloosahatchee"/>
    <n v="124.6"/>
    <s v="Not provided"/>
    <s v="Not provided"/>
    <s v="Not provided"/>
    <s v="Not provided"/>
    <s v="N/A"/>
    <s v="Not provided"/>
    <n v="26.61183763"/>
    <n v="-81.879033699999994"/>
    <s v="N/A"/>
    <m/>
    <s v="Structural"/>
    <s v="Completed"/>
    <x v="1"/>
    <n v="379.20291199999997"/>
    <s v="N/A"/>
  </r>
  <r>
    <s v="CALO"/>
    <n v="2368"/>
    <s v="City of Fort Myers"/>
    <s v="Not provided"/>
    <s v="FM-02"/>
    <s v="Education Efforts"/>
    <s v="FYN, fertilizer ordinance, pamphlets, PSAs, website, illicit discharge program."/>
    <s v="Education Efforts"/>
    <x v="2"/>
    <s v="Not provided"/>
    <x v="0"/>
    <n v="4652.174979774828"/>
    <n v="1630.402357841793"/>
    <s v="Tidal Caloosahatchee"/>
    <s v="N/A"/>
    <s v="Not provided"/>
    <s v="Not provided"/>
    <s v="Not provided"/>
    <s v="Not provided"/>
    <s v="N/A"/>
    <s v="Not provided"/>
    <s v="Not provided"/>
    <s v="Not provided"/>
    <s v="N/A"/>
    <m/>
    <s v="Non-structural"/>
    <s v="Ongoing"/>
    <x v="1"/>
    <n v="952.99679200000003"/>
    <s v="N/A"/>
  </r>
  <r>
    <s v="CALO"/>
    <n v="2369"/>
    <s v="City of Fort Myers"/>
    <s v="Not provided"/>
    <s v="FM-03"/>
    <s v="Winkler Avenue Utility and Streetscape Improvements"/>
    <s v="Installation of StormceptorsTM."/>
    <s v="Hydrodynamic Separators"/>
    <x v="1"/>
    <s v="Not provided"/>
    <x v="7"/>
    <s v="TBD"/>
    <s v="TBD"/>
    <s v="Tidal Caloosahatchee"/>
    <n v="117.9"/>
    <s v="Not provided"/>
    <s v="Not provided"/>
    <s v="Not provided"/>
    <s v="Not provided"/>
    <s v="N/A"/>
    <s v="Not provided"/>
    <n v="26.545303010000001"/>
    <n v="-81.898234450000004"/>
    <s v="N/A"/>
    <m/>
    <s v="Structural"/>
    <s v="Completed"/>
    <x v="1"/>
    <n v="18.14368"/>
    <s v="N/A"/>
  </r>
  <r>
    <s v="CALO"/>
    <n v="2370"/>
    <s v="City of Fort Myers"/>
    <s v="Not provided"/>
    <s v="FM-04"/>
    <s v="Manuel's Branch Siltation Structures"/>
    <s v="Installation of siltation structure designed to receive incoming flow, reduce its velocity and allow for settling of suspended particles. Called sediment trap (near control structure)."/>
    <s v="Control Structure"/>
    <x v="1"/>
    <s v="Not provided"/>
    <x v="7"/>
    <n v="485.94195997010848"/>
    <n v="77.728824044765787"/>
    <s v="Tidal Caloosahatchee"/>
    <n v="642.70000000000005"/>
    <s v="Not provided"/>
    <s v="Not provided"/>
    <s v="Not provided"/>
    <s v="Not provided"/>
    <s v="N/A"/>
    <s v="Not provided"/>
    <n v="26.627068189999999"/>
    <n v="-81.879868650000006"/>
    <s v="N/A"/>
    <m/>
    <s v="Structural"/>
    <s v="Completed"/>
    <x v="1"/>
    <n v="488.97217599999999"/>
    <s v="N/A"/>
  </r>
  <r>
    <s v="CALO"/>
    <n v="2371"/>
    <s v="City of Fort Myers"/>
    <s v="Not provided"/>
    <s v="FM-05"/>
    <s v="Manuel's Branch Control Structures"/>
    <s v="Series of two weirs constructed along Manuel's Branch between Royal Palm Avenue and Grand Avenue that act as detention structures for purpose of increasing storage and attenuation in canal."/>
    <s v="Control Structure"/>
    <x v="1"/>
    <s v="Not provided"/>
    <x v="7"/>
    <n v="981.2364943613585"/>
    <n v="310.58469773282712"/>
    <s v="Tidal Caloosahatchee"/>
    <n v="437.9"/>
    <s v="Not provided"/>
    <s v="Not provided"/>
    <s v="Not provided"/>
    <s v="Not provided"/>
    <s v="N/A"/>
    <s v="Not provided"/>
    <n v="26.626174089999999"/>
    <n v="-81.870245389999994"/>
    <s v="N/A"/>
    <m/>
    <s v="Structural"/>
    <s v="Completed"/>
    <x v="1"/>
    <n v="998.80958399999997"/>
    <s v="N/A"/>
  </r>
  <r>
    <s v="CALO"/>
    <n v="2372"/>
    <s v="City of Fort Myers"/>
    <s v="Not provided"/>
    <s v="FM-06"/>
    <s v="Billy's Creek Wetland"/>
    <s v="Filter marsh park."/>
    <s v="Constructed Wetland Treatment"/>
    <x v="1"/>
    <s v="Not provided"/>
    <x v="7"/>
    <n v="1421"/>
    <n v="1211"/>
    <s v="Tidal Caloosahatchee"/>
    <n v="1631.6"/>
    <s v="Not provided"/>
    <s v="Not provided"/>
    <s v="Not provided"/>
    <s v="Not provided"/>
    <s v="N/A"/>
    <s v="Not provided"/>
    <n v="26.66128544"/>
    <n v="-81.824795080000001"/>
    <s v="N/A"/>
    <m/>
    <s v="Structural"/>
    <s v="Completed"/>
    <x v="1"/>
    <n v="1825.7077999999999"/>
    <s v="N/A"/>
  </r>
  <r>
    <s v="CALO"/>
    <n v="2373"/>
    <s v="City of Fort Myers"/>
    <s v="Not provided"/>
    <s v="FM-07"/>
    <s v="Brookhill Drive Utility Drainage Improvement"/>
    <s v="Installation of 2 Nutrient Baffle Boxes in parallel along Brookhill Dr."/>
    <s v="Baffle Boxes- Second Generation with Media"/>
    <x v="1"/>
    <s v="Not provided"/>
    <x v="14"/>
    <n v="36.408610440713289"/>
    <n v="3.6839592547341176"/>
    <s v="Tidal Caloosahatchee"/>
    <n v="28"/>
    <s v="Not provided"/>
    <s v="Not provided"/>
    <s v="Not provided"/>
    <s v="Not provided"/>
    <s v="N/A"/>
    <s v="Not provided"/>
    <n v="26.650760900000002"/>
    <n v="-81.842907210000007"/>
    <s v="N/A"/>
    <m/>
    <s v="Structural"/>
    <s v="Completed"/>
    <x v="1"/>
    <n v="4.9895119999999995"/>
    <s v="N/A"/>
  </r>
  <r>
    <s v="CALO"/>
    <n v="2374"/>
    <s v="City of Fort Myers"/>
    <s v="Not provided"/>
    <s v="FM-08"/>
    <s v="Street Sweeping"/>
    <s v="All city roads with curb and gutter divided into four zones and swept at varying frequencies based on pollutant accumulation."/>
    <s v="Street Sweeping"/>
    <x v="2"/>
    <s v="Not provided"/>
    <x v="0"/>
    <n v="1851.3153696785869"/>
    <n v="1173.8445490668453"/>
    <s v="Tidal Caloosahatchee"/>
    <s v="N/A"/>
    <s v="Not provided"/>
    <s v="Not provided"/>
    <s v="Not provided"/>
    <s v="Not provided"/>
    <s v="N/A"/>
    <s v="Not provided"/>
    <s v="N/A"/>
    <s v="N/A"/>
    <s v="N/A"/>
    <m/>
    <s v="Non-structural"/>
    <s v="Ongoing"/>
    <x v="1"/>
    <n v="1171.174544"/>
    <s v="N/A"/>
  </r>
  <r>
    <s v="CALO"/>
    <n v="2375"/>
    <s v="City of Fort Myers"/>
    <s v="Not provided"/>
    <s v="FM-09"/>
    <s v="Ford Street Preserve"/>
    <s v="Constructed wetland treatment system that removes pollutants from Ford Street Canal, which serves 811 acres of highly urbanized watershed."/>
    <s v="Constructed Wetland Treatment"/>
    <x v="1"/>
    <s v="Not provided"/>
    <x v="8"/>
    <n v="7916.409812016459"/>
    <n v="1411.9776663543594"/>
    <s v="Tidal Caloosahatchee"/>
    <n v="811"/>
    <s v="Not provided"/>
    <s v="Not provided"/>
    <s v="Not provided"/>
    <s v="Not provided"/>
    <s v="N/A"/>
    <s v="Not provided"/>
    <n v="26.652341320000001"/>
    <n v="-81.846580000000003"/>
    <s v="N/A"/>
    <m/>
    <s v="Structural"/>
    <s v="Completed"/>
    <x v="1"/>
    <n v="3308.046456"/>
    <s v="N/A"/>
  </r>
  <r>
    <s v="CALO"/>
    <n v="2376"/>
    <s v="City of Fort Myers"/>
    <s v="Not provided"/>
    <s v="FM-10"/>
    <s v="Riverfront Development Phase 1"/>
    <s v="Retention pond."/>
    <s v="On-line Retention BMPs"/>
    <x v="1"/>
    <s v="Not provided"/>
    <x v="14"/>
    <n v="37.402900438605002"/>
    <n v="9.9875885900680039"/>
    <s v="Tidal Caloosahatchee"/>
    <n v="15"/>
    <s v="Not provided"/>
    <s v="Not provided"/>
    <s v="Not provided"/>
    <s v="Not provided"/>
    <s v="N/A"/>
    <s v="Not provided"/>
    <n v="26.645897040000001"/>
    <n v="-81.87110337"/>
    <s v="N/A"/>
    <m/>
    <s v="Structural"/>
    <s v="Completed"/>
    <x v="1"/>
    <n v="40.823279999999997"/>
    <s v="N/A"/>
  </r>
  <r>
    <s v="CALO"/>
    <n v="2388"/>
    <s v="City of Fort Myers"/>
    <s v="Not provided"/>
    <s v="FM-11"/>
    <s v="Carrell Canal Water Quality Retrofit"/>
    <s v="Two detention areas, five filter marshes, and golf course renovation."/>
    <s v="BMP Treatment Train"/>
    <x v="1"/>
    <s v="Not provided"/>
    <x v="6"/>
    <n v="639.77533117310008"/>
    <n v="218.32377324732877"/>
    <s v="Tidal Caloosahatchee"/>
    <n v="848"/>
    <s v="Not provided"/>
    <s v="Not provided"/>
    <s v="Not provided"/>
    <s v="Not provided"/>
    <s v="N/A"/>
    <s v="Not provided"/>
    <n v="26.610993400000002"/>
    <n v="-81.876577359999999"/>
    <s v="N/A"/>
    <m/>
    <s v="Structural"/>
    <s v="Completed"/>
    <x v="2"/>
    <n v="578.32979999999998"/>
    <s v="N/A"/>
  </r>
  <r>
    <s v="CALO"/>
    <n v="2378"/>
    <s v="City of Fort Myers"/>
    <s v="Not provided"/>
    <s v="FM-12"/>
    <s v="Aquashores Neighborhood"/>
    <s v="Installation of two StormceptorsTM."/>
    <s v="Hydrodynamic Separators"/>
    <x v="1"/>
    <s v="Not provided"/>
    <x v="15"/>
    <n v="0"/>
    <n v="0.72162417355154007"/>
    <s v="Tidal Caloosahatchee"/>
    <n v="9"/>
    <s v="Not provided"/>
    <s v="Not provided"/>
    <s v="Not provided"/>
    <s v="Not provided"/>
    <s v="N/A"/>
    <s v="Not provided"/>
    <n v="26.649867239999999"/>
    <n v="-81.844605889999997"/>
    <s v="N/A"/>
    <m/>
    <s v="Structural"/>
    <m/>
    <x v="7"/>
    <s v="TBD"/>
    <s v="N/A"/>
  </r>
  <r>
    <s v="CALO"/>
    <n v="2366"/>
    <s v="City of Fort Myers"/>
    <s v="Not provided"/>
    <s v="FM-13"/>
    <s v="Billy &amp; High Street Drainage Improvement"/>
    <s v="Neighborhood improvement project."/>
    <s v="BMP Treatment Train"/>
    <x v="3"/>
    <s v="Not provided"/>
    <x v="10"/>
    <s v="TBD"/>
    <s v="TBD"/>
    <s v="Tidal Caloosahatchee"/>
    <n v="9"/>
    <s v="Not provided"/>
    <s v="Not provided"/>
    <s v="Not provided"/>
    <s v="Not provided"/>
    <s v="N/A"/>
    <s v="Not provided"/>
    <n v="26.646745150000001"/>
    <n v="-81.852354550000001"/>
    <s v="N/A"/>
    <m/>
    <s v="Structural"/>
    <m/>
    <x v="7"/>
    <s v="TBD"/>
    <s v="N/A"/>
  </r>
  <r>
    <s v="CALO"/>
    <n v="2379"/>
    <s v="City of Fort Myers"/>
    <s v="Not provided"/>
    <s v="FM-14"/>
    <s v="Ridgewood Park Neighborhood Improvements"/>
    <s v="Neighborhood improvement projects to be done in phases."/>
    <s v="BMP Treatment Train"/>
    <x v="0"/>
    <s v="Not provided"/>
    <x v="10"/>
    <s v="TBD"/>
    <s v="TBD"/>
    <s v="Tidal Caloosahatchee"/>
    <n v="242"/>
    <s v="Not provided"/>
    <s v="Not provided"/>
    <s v="Not provided"/>
    <s v="Not provided"/>
    <s v="N/A"/>
    <s v="Not provided"/>
    <n v="26.661574640000001"/>
    <n v="-81.832974219999997"/>
    <s v="N/A"/>
    <m/>
    <s v="Structural"/>
    <m/>
    <x v="7"/>
    <s v="TBD"/>
    <s v="N/A"/>
  </r>
  <r>
    <s v="CALO"/>
    <n v="2380"/>
    <s v="City of Fort Myers"/>
    <s v="Not provided"/>
    <s v="FM-15"/>
    <s v="Midtown Redevelopment"/>
    <s v="Area improvements including water quality improvements."/>
    <s v="BMP Treatment Train"/>
    <x v="0"/>
    <s v="Not provided"/>
    <x v="10"/>
    <s v="TBD"/>
    <s v="TBD"/>
    <s v="Tidal Caloosahatchee"/>
    <n v="183"/>
    <s v="Not provided"/>
    <s v="Not provided"/>
    <s v="Not provided"/>
    <s v="Not provided"/>
    <s v="N/A"/>
    <s v="Not provided"/>
    <n v="26.634447460000001"/>
    <n v="-81.843164709999996"/>
    <s v="N/A"/>
    <m/>
    <s v="Structural"/>
    <m/>
    <x v="7"/>
    <s v="TBD"/>
    <s v="N/A"/>
  </r>
  <r>
    <s v="CALO"/>
    <n v="2381"/>
    <s v="City of Fort Myers"/>
    <s v="Not provided"/>
    <s v="FM-16"/>
    <s v="Edgewood Neighborhood Improvements"/>
    <s v="Neighborhood improvement projects to be done in phases."/>
    <s v="BMP Treatment Train"/>
    <x v="0"/>
    <s v="Not provided"/>
    <x v="10"/>
    <s v="TBD"/>
    <s v="TBD"/>
    <s v="Tidal Caloosahatchee"/>
    <n v="336"/>
    <s v="Not provided"/>
    <s v="Not provided"/>
    <s v="Not provided"/>
    <s v="Not provided"/>
    <s v="N/A"/>
    <s v="Not provided"/>
    <n v="26.66456608"/>
    <n v="-81.837716369999995"/>
    <s v="N/A"/>
    <m/>
    <s v="Structural"/>
    <m/>
    <x v="7"/>
    <s v="TBD"/>
    <s v="N/A"/>
  </r>
  <r>
    <s v="CALO"/>
    <n v="4852"/>
    <s v="Glades County"/>
    <s v="N/A"/>
    <s v="GC-01"/>
    <s v="Education and Outreach"/>
    <s v="FYN; landscaping, irrigation, and fertilizer ordinances; PSAs, pamphlets, website, and illicit discharge program."/>
    <s v="Education Efforts"/>
    <x v="1"/>
    <s v="2014"/>
    <x v="8"/>
    <n v="1564.0296893829764"/>
    <n v="299.09398854493202"/>
    <s v="West Caloosahatchee; East Caloosahatchee"/>
    <s v="N/A"/>
    <s v="Not provided"/>
    <n v="5500"/>
    <s v="Glades County"/>
    <s v="N/A"/>
    <s v="N/A"/>
    <s v="N/A"/>
    <n v="26.864781000000001"/>
    <n v="-81.287188"/>
    <s v="N/A"/>
    <m/>
    <s v="Non-structural"/>
    <s v="Completed"/>
    <x v="0"/>
    <s v="N/A"/>
    <s v="N/A"/>
  </r>
  <r>
    <s v="CALO"/>
    <n v="4853"/>
    <s v="Glades County"/>
    <s v="N/A"/>
    <s v="GC-02"/>
    <s v="Glades County Caloosahatchee River &amp; Estuary Area Wastewater Grant"/>
    <s v="Elimination of aging and/or failing existing septic systems in the City of Moore Haven. The Project also provides for additional conveyance capacity for additional homes and businesses."/>
    <s v="OSTDS Phase Out"/>
    <x v="3"/>
    <s v="2018"/>
    <x v="16"/>
    <n v="1252.7"/>
    <s v="N/A"/>
    <s v="East Caloosahatchee"/>
    <s v="TBD"/>
    <n v="891848"/>
    <n v="12240"/>
    <s v="DEP"/>
    <s v="$891,848"/>
    <s v="LP22023"/>
    <s v="N/A"/>
    <n v="26.828299999999999"/>
    <n v="-81.096900000000005"/>
    <s v="DEP grant"/>
    <m/>
    <s v="Structural"/>
    <s v="Planned"/>
    <x v="0"/>
    <s v="N/A"/>
    <s v="N/A"/>
  </r>
  <r>
    <s v="CALO"/>
    <n v="4854"/>
    <s v="Glades County"/>
    <s v="N/A"/>
    <s v="GC-03"/>
    <s v="Glades County Business Park Wetlands"/>
    <s v="Wetland maintenance and planting agreement."/>
    <s v="Constructed Wetland Treatment"/>
    <x v="3"/>
    <s v="2019"/>
    <x v="16"/>
    <s v="TBD"/>
    <s v="TBD"/>
    <s v="Upstream of Estuary BMAP"/>
    <n v="9"/>
    <n v="42395"/>
    <n v="21198"/>
    <s v="Glades County"/>
    <s v="$42,395"/>
    <s v="N/A"/>
    <s v="N/A"/>
    <n v="26.835516999999999"/>
    <n v="-81.124968999999993"/>
    <s v="N/A"/>
    <m/>
    <s v="Structural"/>
    <s v="Underway"/>
    <x v="0"/>
    <s v="N/A"/>
    <s v="N/A"/>
  </r>
  <r>
    <s v="CALO"/>
    <n v="5208"/>
    <s v="Gerber Groves WCD"/>
    <s v="DEP/ FDACS"/>
    <s v="GG-01"/>
    <s v="Public Education and Outreach"/>
    <s v="Updates on BMAP and requirements during annual landowner meetings."/>
    <s v="Education Efforts"/>
    <x v="0"/>
    <s v="2020"/>
    <x v="0"/>
    <s v="N/A"/>
    <s v="N/A"/>
    <s v="West Caloosahatchee"/>
    <s v="N/A"/>
    <n v="500"/>
    <s v="N/A"/>
    <s v="Gerber Groves WCD"/>
    <s v="$500"/>
    <s v="N/A"/>
    <s v="N/A"/>
    <n v="26.677781"/>
    <n v="-81.342258000000001"/>
    <s v="N/A"/>
    <m/>
    <s v="Non-structural"/>
    <m/>
    <x v="0"/>
    <s v="N/A"/>
    <s v="N/A"/>
  </r>
  <r>
    <s v="CALO"/>
    <n v="5209"/>
    <s v="Gerber Groves WCD"/>
    <s v="FDACS"/>
    <s v="GG-02"/>
    <s v="FDACS BMP Assistance"/>
    <s v="Provide assistance to FDACS, as needed, to encourage landowners to enroll in BMPs."/>
    <s v="Agricultural BMPs"/>
    <x v="0"/>
    <s v="2020"/>
    <x v="0"/>
    <s v="N/A"/>
    <s v="N/A"/>
    <s v="West Caloosahatchee"/>
    <s v="N/A"/>
    <n v="1000"/>
    <s v="N/A"/>
    <s v="Gerber Groves WCD"/>
    <s v="$1,000"/>
    <s v="N/A"/>
    <s v="N/A"/>
    <n v="26.677781"/>
    <n v="-81.342258000000001"/>
    <s v="N/A"/>
    <m/>
    <s v="Non-structural"/>
    <m/>
    <x v="0"/>
    <s v="N/A"/>
    <s v="N/A"/>
  </r>
  <r>
    <s v="CALO"/>
    <n v="5210"/>
    <s v="Gerber Groves WCD"/>
    <s v="N/A"/>
    <s v="GG-03"/>
    <s v="Nutrient Controls"/>
    <s v="No application of fertilizer in district's rights-of-way."/>
    <s v="Fertilizer Cessation"/>
    <x v="1"/>
    <s v="2020"/>
    <x v="1"/>
    <s v="N/A"/>
    <s v="N/A"/>
    <s v="West Caloosahatchee"/>
    <s v="N/A"/>
    <n v="0"/>
    <s v="N/A"/>
    <s v="Gerber Groves WCD"/>
    <s v="N/A"/>
    <s v="N/A"/>
    <s v="N/A"/>
    <n v="26.68239677"/>
    <n v="-81.344608140000005"/>
    <s v="N/A"/>
    <m/>
    <s v="Non-structural"/>
    <m/>
    <x v="0"/>
    <s v="N/A"/>
    <s v="N/A"/>
  </r>
  <r>
    <s v="CALO"/>
    <n v="5211"/>
    <s v="Gerber Groves WCD"/>
    <s v="N/A"/>
    <s v="GG-04"/>
    <s v="Canal/Ditch Bank Berms"/>
    <s v="Minimize sediment transport by constructing berms on top of canal/ditch banks and promoting vegetation cover."/>
    <s v="Shoreline Stabilization"/>
    <x v="0"/>
    <s v="2021"/>
    <x v="10"/>
    <s v="N/A"/>
    <s v="N/A"/>
    <s v="West Caloosahatchee"/>
    <s v="N/A"/>
    <n v="5000"/>
    <s v="N/A"/>
    <s v="Gerber Groves WCD"/>
    <s v="$5,000"/>
    <s v="N/A"/>
    <s v="N/A"/>
    <n v="26.68239677"/>
    <n v="-81.344608140000005"/>
    <s v="N/A"/>
    <m/>
    <s v="Structural"/>
    <m/>
    <x v="0"/>
    <s v="N/A"/>
    <s v="N/A"/>
  </r>
  <r>
    <s v="CALO"/>
    <n v="5212"/>
    <s v="Gerber Groves WCD"/>
    <s v="N/A"/>
    <s v="GG-05"/>
    <s v="Control Structures"/>
    <s v="Annual maintenance of water control structures."/>
    <s v="Control Structure"/>
    <x v="2"/>
    <s v="2021"/>
    <x v="0"/>
    <s v="N/A"/>
    <s v="N/A"/>
    <s v="West Caloosahatchee"/>
    <s v="N/A"/>
    <n v="5000"/>
    <s v="N/A"/>
    <s v="Gerber Groves WCD"/>
    <s v="$5,000"/>
    <s v="N/A"/>
    <s v="N/A"/>
    <n v="26.699728"/>
    <n v="-81.333053000000007"/>
    <s v="N/A"/>
    <m/>
    <s v="Structural"/>
    <m/>
    <x v="0"/>
    <s v="N/A"/>
    <s v="N/A"/>
  </r>
  <r>
    <s v="CALO"/>
    <n v="5213"/>
    <s v="Hendry-Hilliard WCD"/>
    <s v="DEP/ FDACS"/>
    <s v="HH-01"/>
    <s v="Public Education and Outreach"/>
    <s v="Updates on BMAP and requirements during annual landowner meetings."/>
    <s v="Education Efforts"/>
    <x v="0"/>
    <s v="2020"/>
    <x v="0"/>
    <s v="N/A"/>
    <s v="N/A"/>
    <s v="East Caloosahatchee"/>
    <s v="N/A"/>
    <n v="500"/>
    <s v="N/A"/>
    <s v="Hendry-Hilliard WCD"/>
    <s v="$500"/>
    <s v="N/A"/>
    <s v="N/A"/>
    <n v="26.733741999999999"/>
    <s v="-81.1420.36"/>
    <s v="N/A"/>
    <m/>
    <s v="Non-structural"/>
    <m/>
    <x v="0"/>
    <s v="N/A"/>
    <s v="N/A"/>
  </r>
  <r>
    <s v="CALO"/>
    <n v="5214"/>
    <s v="Hendry-Hilliard WCD"/>
    <s v="FDACS"/>
    <s v="HH-02"/>
    <s v="FDACS BMP Assistance"/>
    <s v="Provide assistance to FDACS, as needed, to encourage landowners to enroll in BMPs."/>
    <s v="Agricultural BMPs"/>
    <x v="0"/>
    <s v="2020"/>
    <x v="0"/>
    <s v="N/A"/>
    <s v="N/A"/>
    <s v="East Caloosahatchee"/>
    <s v="N/A"/>
    <n v="1000"/>
    <s v="N/A"/>
    <s v="Hendry-Hilliard WCD"/>
    <s v="$1,000"/>
    <s v="N/A"/>
    <s v="N/A"/>
    <n v="26.733741999999999"/>
    <s v="-81.1420.36"/>
    <s v="N/A"/>
    <m/>
    <s v="Non-structural"/>
    <m/>
    <x v="0"/>
    <s v="N/A"/>
    <s v="N/A"/>
  </r>
  <r>
    <s v="CALO"/>
    <n v="5215"/>
    <s v="Hendry-Hilliard WCD"/>
    <s v="N/A"/>
    <s v="HH-03"/>
    <s v="Nutrient Controls"/>
    <s v="No application of fertilizer in district's rights-of-way."/>
    <s v="Fertilizer Cessation"/>
    <x v="1"/>
    <s v="2020"/>
    <x v="1"/>
    <s v="N/A"/>
    <s v="N/A"/>
    <s v="East Caloosahatchee"/>
    <s v="N/A"/>
    <n v="0"/>
    <s v="N/A"/>
    <s v="Hendry-Hilliard WCD"/>
    <s v="N/A"/>
    <s v="N/A"/>
    <s v="N/A"/>
    <n v="26.738786000000001"/>
    <s v="-81.1556.17"/>
    <s v="N/A"/>
    <m/>
    <s v="Non-structural"/>
    <m/>
    <x v="0"/>
    <s v="N/A"/>
    <s v="N/A"/>
  </r>
  <r>
    <s v="CALO"/>
    <n v="5216"/>
    <s v="Hendry-Hilliard WCD"/>
    <s v="N/A"/>
    <s v="HH-04"/>
    <s v="Slow Velocity in the Main Canal"/>
    <s v="Minimize sediment transport by slowing velocity in main canal near main discharge structure."/>
    <s v="Control Structure"/>
    <x v="0"/>
    <s v="2021"/>
    <x v="10"/>
    <s v="N/A"/>
    <s v="N/A"/>
    <s v="East Caloosahatchee"/>
    <s v="N/A"/>
    <n v="3500"/>
    <s v="N/A"/>
    <s v="Hendry-Hilliard WCD"/>
    <s v="$3,500"/>
    <s v="N/A"/>
    <s v="N/A"/>
    <n v="26.738786000000001"/>
    <s v="-81.1556.17"/>
    <s v="N/A"/>
    <m/>
    <s v="Structural"/>
    <m/>
    <x v="0"/>
    <s v="N/A"/>
    <s v="N/A"/>
  </r>
  <r>
    <s v="CALO"/>
    <n v="5217"/>
    <s v="Hendry-Hilliard WCD"/>
    <s v="N/A"/>
    <s v="HH-05"/>
    <s v="Control Structures"/>
    <s v="Annual maintenance of water control structures."/>
    <s v="Control Structure"/>
    <x v="2"/>
    <s v="2021"/>
    <x v="0"/>
    <s v="N/A"/>
    <s v="N/A"/>
    <s v="East Caloosahatchee"/>
    <s v="N/A"/>
    <n v="2000"/>
    <s v="N/A"/>
    <s v="Hendry-Hilliard WCD"/>
    <s v="$2,000"/>
    <s v="N/A"/>
    <s v="N/A"/>
    <n v="26.758478"/>
    <n v="-81.151114000000007"/>
    <s v="N/A"/>
    <m/>
    <s v="Structural"/>
    <m/>
    <x v="0"/>
    <s v="N/A"/>
    <s v="N/A"/>
  </r>
  <r>
    <s v="CALO"/>
    <n v="2382"/>
    <s v="LA-MSID (formerly ECWCD)"/>
    <s v="Not provided"/>
    <s v="LA-01"/>
    <s v="Education/Pollution Prevention/Fertilizer"/>
    <s v="Pollution prevention and fertilizer education."/>
    <s v="Education Efforts"/>
    <x v="2"/>
    <s v="Not provided"/>
    <x v="0"/>
    <n v="1622.5190861155108"/>
    <n v="276.47363964071855"/>
    <s v="Tidal Caloosahatchee; West Caloosahatchee"/>
    <s v="N/A"/>
    <s v="Not provided"/>
    <s v="Not provided"/>
    <s v="Not provided"/>
    <s v="Not provided"/>
    <s v="N/A"/>
    <s v="Not provided"/>
    <s v="N/A"/>
    <s v="N/A"/>
    <s v="N/A"/>
    <m/>
    <s v="Non-structural"/>
    <s v="Ongoing"/>
    <x v="1"/>
    <n v="746.61243200000001"/>
    <s v="N/A"/>
  </r>
  <r>
    <s v="CALO"/>
    <n v="2383"/>
    <s v="LA-MSID (formerly ECWCD)"/>
    <s v="Not provided"/>
    <s v="LA-02"/>
    <s v="Freshwater Canal Detention"/>
    <s v="Regulation of freshwater canals through existing control structures."/>
    <s v="Control Structure"/>
    <x v="1"/>
    <s v="Not provided"/>
    <x v="7"/>
    <n v="9377.908998913872"/>
    <n v="1464.9327200455059"/>
    <s v="Tidal Caloosahatchee; West Caloosahatchee"/>
    <n v="32555"/>
    <s v="Not provided"/>
    <s v="Not provided"/>
    <s v="Not provided"/>
    <s v="Not provided"/>
    <s v="N/A"/>
    <s v="Not provided"/>
    <s v="Not provided"/>
    <s v="Not provided"/>
    <s v="N/A"/>
    <m/>
    <s v="Structural"/>
    <s v="Completed"/>
    <x v="1"/>
    <n v="3601.5204800000001"/>
    <s v="N/A"/>
  </r>
  <r>
    <s v="CALO"/>
    <n v="2385"/>
    <s v="LA-MSID (formerly ECWCD)"/>
    <s v="Not provided"/>
    <s v="LA-03"/>
    <s v="Weir Elevation Improvements"/>
    <s v="Replacement of weir structures at increased control elevations to provide additional attenuation."/>
    <s v="Control Structure"/>
    <x v="1"/>
    <s v="Not provided"/>
    <x v="7"/>
    <n v="8909.0135489681779"/>
    <n v="1391.6860840432307"/>
    <s v="Tidal Caloosahatchee; West Caloosahatchee"/>
    <n v="32555"/>
    <s v="Not provided"/>
    <s v="Not provided"/>
    <s v="Not provided"/>
    <s v="Not provided"/>
    <s v="N/A"/>
    <s v="Not provided"/>
    <s v="Not provided"/>
    <s v="Not provided"/>
    <s v="N/A"/>
    <m/>
    <s v="Structural"/>
    <s v="Completed"/>
    <x v="1"/>
    <n v="3421.4444560000002"/>
    <s v="N/A"/>
  </r>
  <r>
    <s v="CALO"/>
    <n v="2387"/>
    <s v="LA-MSID (formerly ECWCD)"/>
    <s v="Not provided"/>
    <s v="LA-04"/>
    <s v="Harn's Marsh Phases I and II"/>
    <s v="Replacement of weir structures and redirection of flows into filter marsh."/>
    <s v="Control Structure"/>
    <x v="1"/>
    <s v="Not provided"/>
    <x v="7"/>
    <s v="TBD"/>
    <s v="TBD"/>
    <s v="Tidal Caloosahatchee"/>
    <n v="32555"/>
    <s v="Not provided"/>
    <s v="Not provided"/>
    <s v="Not provided"/>
    <s v="Not provided"/>
    <s v="N/A"/>
    <s v="Not provided"/>
    <n v="26.65282629"/>
    <n v="-81.692856840000005"/>
    <s v="N/A"/>
    <m/>
    <s v="Structural"/>
    <s v="Completed"/>
    <x v="1"/>
    <n v="2123.717744"/>
    <s v="N/A"/>
  </r>
  <r>
    <s v="CALO"/>
    <n v="2354"/>
    <s v="LA-MSID (formerly ECWCD)"/>
    <s v="Not provided"/>
    <s v="LA-05"/>
    <s v="Jim Flemming Eco-Park"/>
    <s v="Wetland rehydration and treatment."/>
    <s v="Hydrologic Restoration"/>
    <x v="1"/>
    <s v="Not provided"/>
    <x v="7"/>
    <n v="7942.2942934720131"/>
    <n v="1715.8112762205844"/>
    <s v="Tidal Caloosahatchee"/>
    <n v="5.0199999999999996"/>
    <s v="Not provided"/>
    <s v="Not provided"/>
    <s v="Not provided"/>
    <s v="Not provided"/>
    <s v="N/A"/>
    <s v="Not provided"/>
    <n v="26.617427930000002"/>
    <n v="-81.695783120000002"/>
    <s v="N/A"/>
    <m/>
    <s v="Structural"/>
    <s v="Completed"/>
    <x v="1"/>
    <n v="17.808021919999998"/>
    <s v="N/A"/>
  </r>
  <r>
    <s v="CALO"/>
    <n v="2352"/>
    <s v="LA-MSID (formerly ECWCD)"/>
    <s v="Not provided"/>
    <s v="LA-06"/>
    <s v="Mirror Lake Phase I"/>
    <s v="Detention pond."/>
    <s v="Wet Detention Pond"/>
    <x v="1"/>
    <s v="Not provided"/>
    <x v="14"/>
    <n v="819.06950398826666"/>
    <n v="127.17501865455264"/>
    <s v="Tidal Caloosahatchee"/>
    <n v="32555"/>
    <s v="Not provided"/>
    <s v="Not provided"/>
    <s v="Not provided"/>
    <s v="Not provided"/>
    <s v="N/A"/>
    <s v="Not provided"/>
    <n v="26.56256346"/>
    <n v="-81.647469569999998"/>
    <s v="N/A"/>
    <m/>
    <s v="Structural"/>
    <s v="Completed"/>
    <x v="1"/>
    <n v="615.52434400000004"/>
    <s v="N/A"/>
  </r>
  <r>
    <s v="CALO"/>
    <n v="2377"/>
    <s v="LA-MSID (formerly ECWCD)"/>
    <s v="DEP/ FDOT"/>
    <s v="LA-07"/>
    <s v="Aquifer Benefit and Storage for Orange River Basin (Southwest Lehigh Weirs)"/>
    <s v="Increase canal control elevations and local groundwater levels by constructing 25 new weirs."/>
    <s v="Control Structure"/>
    <x v="1"/>
    <s v="2016"/>
    <x v="13"/>
    <n v="5550.986471295053"/>
    <n v="935.11069335242212"/>
    <s v="Tidal Caloosahatchee"/>
    <n v="5760"/>
    <n v="2532311.3199999998"/>
    <s v="Not provided"/>
    <s v="DEP/ FDOT"/>
    <s v="DEP - $1,224,800/ FDOT - $1,903,200"/>
    <s v="S0721"/>
    <s v="N/A"/>
    <n v="26.590993109999999"/>
    <n v="-81.685941060000005"/>
    <s v="N/A"/>
    <m/>
    <s v="Structural"/>
    <m/>
    <x v="4"/>
    <n v="895.8442"/>
    <s v="N/A"/>
  </r>
  <r>
    <s v="CALO"/>
    <n v="2344"/>
    <s v="LA-MSID (formerly ECWCD)"/>
    <s v="N/A"/>
    <s v="LA-08"/>
    <s v="S-AW-2 Weir Elevation Improvements"/>
    <s v="Replacement of weir structures at increase control elevations to provide additional attenuation."/>
    <s v="Control Structure"/>
    <x v="1"/>
    <s v="2016"/>
    <x v="13"/>
    <n v="415.70182472888177"/>
    <n v="61.421911762441724"/>
    <s v="Tidal Caloosahatchee"/>
    <n v="640"/>
    <n v="400000"/>
    <n v="15000"/>
    <s v="LA-MSID"/>
    <s v="LA-MSID - $400,000"/>
    <s v="N/A"/>
    <s v="N/A"/>
    <n v="26.592390000000002"/>
    <n v="-81.617940000000004"/>
    <s v="N/A"/>
    <m/>
    <s v="Structural"/>
    <m/>
    <x v="7"/>
    <n v="147.19060400000001"/>
    <s v="N/A"/>
  </r>
  <r>
    <s v="CALO"/>
    <n v="2363"/>
    <s v="LA-MSID (formerly ECWCD)"/>
    <s v="SFWMD"/>
    <s v="LA-09"/>
    <s v="Mirror Lake Phase 2"/>
    <s v="Detention pond."/>
    <s v="Wet Detention Pond"/>
    <x v="3"/>
    <s v="2017"/>
    <x v="9"/>
    <n v="738.80069259741651"/>
    <n v="108.86181596829707"/>
    <s v="Tidal Caloosahatchee"/>
    <n v="32555"/>
    <n v="500000"/>
    <s v="TBD"/>
    <s v="LA-MSID/ SFWMD"/>
    <s v="LA-MSID - $300,000/ SFWMD - $200,000"/>
    <s v="N/A"/>
    <s v="Not provided"/>
    <n v="26.56049063"/>
    <n v="-81.637770700000004"/>
    <s v="N/A"/>
    <m/>
    <s v="Structural"/>
    <s v="In Design"/>
    <x v="7"/>
    <n v="2239.8372960000002"/>
    <s v="N/A"/>
  </r>
  <r>
    <s v="CALO"/>
    <n v="2348"/>
    <s v="LA-MSID (formerly ECWCD)"/>
    <s v="FDOT/ Lee County"/>
    <s v="LA-10"/>
    <s v="West Marsh Preserve"/>
    <s v="Wetland rehydration and treatment."/>
    <s v="Hydrologic Restoration"/>
    <x v="3"/>
    <s v="2017"/>
    <x v="1"/>
    <s v="TBD"/>
    <s v="TBD"/>
    <s v="Tidal Caloosahatchee"/>
    <n v="32555"/>
    <n v="12000000"/>
    <s v="TBD"/>
    <s v="LA-MSID/ FDOT/ Lee County"/>
    <s v="LA-MSID - $2,368,300/ FDOT - $5,000,000/ Lee County - $4,631,700"/>
    <s v="N/A"/>
    <s v="Not provided"/>
    <n v="26.648128549999999"/>
    <n v="-81.702494020000003"/>
    <s v="N/A"/>
    <m/>
    <s v="Structural"/>
    <m/>
    <x v="7"/>
    <n v="913.98788000000002"/>
    <s v="N/A"/>
  </r>
  <r>
    <s v="CALO"/>
    <n v="2347"/>
    <s v="LA-MSID (formerly ECWCD)"/>
    <s v="NRCS/ FEMA"/>
    <s v="LA-11"/>
    <s v="S-H-2 Weir Replacement"/>
    <s v="Replace failed fabriform weir."/>
    <s v="Control Structure"/>
    <x v="3"/>
    <s v="2018"/>
    <x v="3"/>
    <n v="75.722903126017727"/>
    <n v="7.7905534450236535"/>
    <s v="West Caloosahatchee"/>
    <n v="1100"/>
    <n v="675000"/>
    <s v="TBD"/>
    <s v="NRCS/ FEMA/ LA-MSID"/>
    <s v="TBD"/>
    <s v="TBD"/>
    <s v="N/A"/>
    <s v="Not provided"/>
    <s v="Not provided"/>
    <s v="N/A"/>
    <m/>
    <s v="Structural"/>
    <m/>
    <x v="7"/>
    <s v="TBD"/>
    <s v="TBD"/>
  </r>
  <r>
    <s v="CALO"/>
    <n v="2346"/>
    <s v="LA-MSID (formerly ECWCD)"/>
    <s v="FDOT"/>
    <s v="LA-12"/>
    <s v="Hendry Canal Widening"/>
    <s v="Widen three miles of Hendry Ext. Canal. Create additional stormwater storage within the canal system."/>
    <s v="Hydrologic Restoration"/>
    <x v="3"/>
    <s v="2020"/>
    <x v="16"/>
    <s v="TBD"/>
    <s v="TBD"/>
    <s v="West Caloosahatchee"/>
    <n v="4100"/>
    <n v="5000000"/>
    <s v="TBD"/>
    <s v="LA-MSID/ FDOT"/>
    <s v="TBD"/>
    <s v="TBD"/>
    <s v="N/A"/>
    <n v="26.571535619999999"/>
    <n v="-81.565114050000005"/>
    <s v="N/A"/>
    <m/>
    <s v="Structural"/>
    <m/>
    <x v="7"/>
    <s v="TBD"/>
    <s v="TBD"/>
  </r>
  <r>
    <s v="CALO"/>
    <n v="2282"/>
    <s v="Lee County"/>
    <s v="N/A"/>
    <s v="LC-01"/>
    <s v="Yellow Fever Creek Preserve"/>
    <s v="Land purchase and conversion to conservation land use."/>
    <s v="Land Use Change"/>
    <x v="1"/>
    <s v="2012"/>
    <x v="17"/>
    <n v="66.05215954825394"/>
    <n v="30.922124601592543"/>
    <s v="Tidal Caloosahatchee"/>
    <n v="220"/>
    <n v="3323506"/>
    <n v="11703"/>
    <s v="County"/>
    <s v="County - $3,323,506"/>
    <s v="N/A"/>
    <s v="N/A"/>
    <n v="26.710315000000001"/>
    <n v="-81.933828000000005"/>
    <s v="N/A"/>
    <m/>
    <s v="Non-structural"/>
    <s v="Completed"/>
    <x v="1"/>
    <n v="14.514944"/>
    <s v="N/A"/>
  </r>
  <r>
    <s v="CALO"/>
    <n v="2293"/>
    <s v="Lee County"/>
    <s v="N/A"/>
    <s v="LC-02"/>
    <s v="Billy's Creek Preserve"/>
    <s v="Land purchase and conversion to conservation land use."/>
    <s v="Land Use Change"/>
    <x v="1"/>
    <s v="2012"/>
    <x v="17"/>
    <n v="46.555076842230449"/>
    <n v="1.6464117536248359"/>
    <s v="Tidal Caloosahatchee"/>
    <n v="50.7"/>
    <n v="2500000"/>
    <s v="N/A"/>
    <s v="County"/>
    <s v="County - $2,500,000"/>
    <s v="N/A"/>
    <s v="N/A"/>
    <n v="26.662645000000001"/>
    <n v="-81.824427999999997"/>
    <s v="N/A"/>
    <m/>
    <s v="Non-structural"/>
    <s v="Completed"/>
    <x v="1"/>
    <n v="7.7110640000000004"/>
    <s v="N/A"/>
  </r>
  <r>
    <s v="CALO"/>
    <n v="2284"/>
    <s v="Lee County"/>
    <s v="SFWMD"/>
    <s v="LC-03"/>
    <s v="Six Mile Cypress Preserve"/>
    <s v="Land purchase and conversion to conservation land use."/>
    <s v="Land Use Change"/>
    <x v="1"/>
    <s v="2012"/>
    <x v="17"/>
    <n v="1625.8593484607027"/>
    <n v="58.864275999135259"/>
    <s v="Tidal Caloosahatchee"/>
    <n v="1219"/>
    <n v="71475196"/>
    <n v="149212"/>
    <s v="County/ SFWMD"/>
    <s v="Not provided"/>
    <s v="N/A"/>
    <s v="N/A"/>
    <s v="26.570475"/>
    <s v="-81.796735"/>
    <s v="N/A"/>
    <m/>
    <s v="Non-structural"/>
    <s v="Completed"/>
    <x v="1"/>
    <n v="5.8966960000000004"/>
    <s v="N/A"/>
  </r>
  <r>
    <s v="CALO"/>
    <n v="2275"/>
    <s v="Lee County"/>
    <s v="SFWMD/ National Oceanic and Atmospheric Administration (NOAA)"/>
    <s v="LC-04"/>
    <s v="Bob Jane's Preserve"/>
    <s v="Land purchase and conversion to conservation land use."/>
    <s v="Land Use Change"/>
    <x v="1"/>
    <s v="2012"/>
    <x v="17"/>
    <n v="14714.028783389726"/>
    <n v="495.26794306448346"/>
    <s v="Tidal Caloosahatchee; West Caloosahatchee"/>
    <n v="1978.9"/>
    <n v="41538620"/>
    <n v="639924"/>
    <s v="County/ SFWMD/ NOAA"/>
    <s v="Not provided"/>
    <s v="N/A"/>
    <s v="N/A"/>
    <n v="26.754301999999999"/>
    <n v="-81.655325000000005"/>
    <s v="N/A"/>
    <m/>
    <s v="Non-structural"/>
    <s v="Completed"/>
    <x v="1"/>
    <n v="0"/>
    <s v="N/A"/>
  </r>
  <r>
    <s v="CALO"/>
    <n v="2286"/>
    <s v="Lee County"/>
    <s v="N/A"/>
    <s v="LC-05"/>
    <s v="Buckingham Trails Preserve"/>
    <s v="Land purchase and conversion to conservation land use."/>
    <s v="Land Use Change"/>
    <x v="1"/>
    <s v="2012"/>
    <x v="17"/>
    <n v="1814.5154663232602"/>
    <n v="68.357280409397674"/>
    <s v="Tidal Caloosahatchee"/>
    <n v="575.5"/>
    <n v="12584000"/>
    <n v="18708"/>
    <s v="County"/>
    <s v="County - $12,584,000"/>
    <s v="N/A"/>
    <s v="N/A"/>
    <n v="26.637291000000001"/>
    <n v="-81.739155999999994"/>
    <s v="N/A"/>
    <m/>
    <s v="Non-structural"/>
    <s v="Completed"/>
    <x v="1"/>
    <n v="5.8966960000000004"/>
    <s v="N/A"/>
  </r>
  <r>
    <s v="CALO"/>
    <n v="2287"/>
    <s v="Lee County"/>
    <s v="Florida Communities Trust (FCT)"/>
    <s v="LC-06"/>
    <s v="Caloosahatchee Creeks Preserve"/>
    <s v="Land purchase and conversion to conservation land use."/>
    <s v="Land Use Change"/>
    <x v="1"/>
    <s v="2012"/>
    <x v="17"/>
    <n v="88.542392779391776"/>
    <n v="11.290510821573747"/>
    <s v="Tidal Caloosahatchee"/>
    <n v="911.3"/>
    <n v="8175706"/>
    <n v="81323"/>
    <s v="County"/>
    <s v="County - $8,175,706"/>
    <s v="N/A"/>
    <s v="N/A"/>
    <n v="26.703710999999998"/>
    <n v="-81.793069000000003"/>
    <s v="N/A"/>
    <m/>
    <s v="Non-structural"/>
    <s v="Completed"/>
    <x v="1"/>
    <n v="6.8038799999999995"/>
    <s v="N/A"/>
  </r>
  <r>
    <s v="CALO"/>
    <n v="2264"/>
    <s v="Lee County"/>
    <s v="N/A"/>
    <s v="LC-07"/>
    <s v="Deep Lagoon Preserve"/>
    <s v="Land purchase and conversion to conservation land use."/>
    <s v="Land Use Change"/>
    <x v="1"/>
    <s v="2012"/>
    <x v="17"/>
    <n v="144.05997969276132"/>
    <n v="10.42818769475538"/>
    <s v="Tidal Caloosahatchee"/>
    <n v="117"/>
    <n v="4475664.2300000004"/>
    <n v="9915"/>
    <s v="County"/>
    <s v="County - $4,475,664"/>
    <s v="N/A"/>
    <s v="N/A"/>
    <n v="26.527190999999998"/>
    <n v="-81.921706999999998"/>
    <s v="N/A"/>
    <m/>
    <s v="Non-structural"/>
    <s v="Completed"/>
    <x v="1"/>
    <n v="1.360776"/>
    <s v="N/A"/>
  </r>
  <r>
    <s v="CALO"/>
    <n v="2288"/>
    <s v="Lee County"/>
    <s v="N/A"/>
    <s v="LC-08"/>
    <s v="Hickory Swamp Preserve"/>
    <s v="Land purchase and conversion to conservation land use."/>
    <s v="Land Use Change"/>
    <x v="1"/>
    <s v="2012"/>
    <x v="17"/>
    <n v="225.68547556334715"/>
    <n v="8.517309877018878"/>
    <s v="Tidal Caloosahatchee"/>
    <n v="67.2"/>
    <n v="467000"/>
    <n v="3856"/>
    <s v="County"/>
    <s v="County - $467,000"/>
    <s v="N/A"/>
    <s v="N/A"/>
    <n v="26.665234000000002"/>
    <n v="-81.738647"/>
    <s v="N/A"/>
    <m/>
    <s v="Non-structural"/>
    <s v="Completed"/>
    <x v="1"/>
    <n v="1.360776"/>
    <s v="N/A"/>
  </r>
  <r>
    <s v="CALO"/>
    <n v="2252"/>
    <s v="Lee County"/>
    <s v="N/A"/>
    <s v="LC-09"/>
    <s v="Orange River Preserve"/>
    <s v="Land purchase and conversion to conservation land use."/>
    <s v="Land Use Change"/>
    <x v="1"/>
    <s v="2012"/>
    <x v="17"/>
    <n v="6.5437556569845583"/>
    <n v="1.2870802112779369"/>
    <s v="Tidal Caloosahatchee"/>
    <n v="59.1"/>
    <n v="1755000"/>
    <n v="2966"/>
    <s v="County"/>
    <s v="County - $1,755,000"/>
    <s v="N/A"/>
    <s v="N/A"/>
    <n v="26.690852"/>
    <n v="-81.783652000000004"/>
    <s v="N/A"/>
    <m/>
    <s v="Non-structural"/>
    <s v="Completed"/>
    <x v="1"/>
    <n v="1.360776"/>
    <s v="N/A"/>
  </r>
  <r>
    <s v="CALO"/>
    <n v="2290"/>
    <s v="Lee County"/>
    <s v="FCT"/>
    <s v="LC-10"/>
    <s v="Prairie Pines Preserve"/>
    <s v="Land purchase and conversion to conservation land use."/>
    <s v="Land Use Change"/>
    <x v="1"/>
    <s v="2012"/>
    <x v="17"/>
    <n v="7.4696171764458086E-2"/>
    <n v="1.9789510702473478E-2"/>
    <s v="Tidal Caloosahatchee"/>
    <n v="330.9"/>
    <n v="11790529.949999999"/>
    <n v="190454"/>
    <s v="County"/>
    <s v="County - $11,790,530"/>
    <s v="N/A"/>
    <s v="N/A"/>
    <n v="26.742021000000001"/>
    <n v="-81.876716000000002"/>
    <s v="N/A"/>
    <m/>
    <s v="Non-structural"/>
    <s v="Completed"/>
    <x v="1"/>
    <n v="1.360776"/>
    <s v="N/A"/>
  </r>
  <r>
    <s v="CALO"/>
    <n v="2291"/>
    <s v="Lee County"/>
    <s v="N/A"/>
    <s v="LC-11"/>
    <s v="Telegraph Creek Preserve"/>
    <s v="Land purchase and conversion to conservation land use."/>
    <s v="Land Use Change"/>
    <x v="1"/>
    <s v="2012"/>
    <x v="17"/>
    <n v="4676.2257618141539"/>
    <n v="139.67865558403116"/>
    <s v="Tidal Caloosahatchee"/>
    <n v="1715.1"/>
    <n v="23900000"/>
    <n v="54639"/>
    <s v="County"/>
    <s v="County - $23,900,000"/>
    <s v="N/A"/>
    <s v="N/A"/>
    <n v="26.744064000000002"/>
    <n v="-81.696723000000006"/>
    <s v="N/A"/>
    <m/>
    <s v="Non-structural"/>
    <s v="Completed"/>
    <x v="1"/>
    <n v="0"/>
    <s v="N/A"/>
  </r>
  <r>
    <s v="CALO"/>
    <n v="2283"/>
    <s v="Lee County"/>
    <s v="N/A"/>
    <s v="LC-12"/>
    <s v="West Marsh Preserve"/>
    <s v="Land purchase and conversion to conservation land use."/>
    <s v="Land Use Change"/>
    <x v="1"/>
    <s v="2012"/>
    <x v="17"/>
    <n v="148.00277321217226"/>
    <n v="41.346565624486509"/>
    <s v="Tidal Caloosahatchee"/>
    <n v="218.1"/>
    <n v="4631625"/>
    <s v="N/A"/>
    <s v="County"/>
    <s v="County - $4,631,625"/>
    <s v="N/A"/>
    <s v="N/A"/>
    <n v="26.647427"/>
    <n v="-81.705286999999998"/>
    <s v="N/A"/>
    <m/>
    <s v="Non-structural"/>
    <s v="Completed"/>
    <x v="1"/>
    <n v="1.360776"/>
    <s v="N/A"/>
  </r>
  <r>
    <s v="CALO"/>
    <n v="2258"/>
    <s v="Lee County"/>
    <s v="N/A"/>
    <s v="LC-13"/>
    <s v="Yellow Fever Creek Preserve"/>
    <s v="Land purchase and conversion to conservation land use."/>
    <s v="Land Use Change"/>
    <x v="1"/>
    <s v="2012"/>
    <x v="17"/>
    <n v="34.096796427158893"/>
    <n v="48.356621755709448"/>
    <s v="Tidal Caloosahatchee"/>
    <n v="117.8"/>
    <n v="3323506.74"/>
    <n v="11703"/>
    <s v="County"/>
    <s v="County - $3,323,507"/>
    <s v="N/A"/>
    <s v="N/A"/>
    <n v="26.709429"/>
    <n v="-81.933543999999998"/>
    <s v="N/A"/>
    <m/>
    <s v="Non-structural"/>
    <s v="Completed"/>
    <x v="1"/>
    <n v="0"/>
    <s v="N/A"/>
  </r>
  <r>
    <s v="CALO"/>
    <n v="2268"/>
    <s v="Lee County"/>
    <s v="UF–IFAS Lee County Extension"/>
    <s v="LC-15"/>
    <s v="Education Efforts"/>
    <s v="FYN; landscape, irrigation, and fertilizer ordinances; pamphlets, PSAs, website, illicit discharge program; WETPLAN."/>
    <s v="Education Efforts"/>
    <x v="2"/>
    <s v="Prior to 2012"/>
    <x v="0"/>
    <n v="12957.46859635798"/>
    <n v="4993.8662873840367"/>
    <s v="Tidal Caloosahatchee"/>
    <s v="N/A"/>
    <n v="392441"/>
    <n v="125000"/>
    <s v="County"/>
    <s v="County - $12,000"/>
    <s v="NF060"/>
    <s v="N/A"/>
    <s v="26.652749"/>
    <s v="-81.776875"/>
    <s v="N/A"/>
    <m/>
    <s v="Non-structural"/>
    <s v="Ongoing"/>
    <x v="1"/>
    <n v="9273.6884399999999"/>
    <s v="N/A"/>
  </r>
  <r>
    <s v="CALO"/>
    <n v="2272"/>
    <s v="Lee County"/>
    <s v="N/A"/>
    <s v="LC-16"/>
    <s v="Street Sweeping"/>
    <s v="Materials from roadway and gutter sweeping."/>
    <s v="Street Sweeping"/>
    <x v="2"/>
    <s v="2000"/>
    <x v="0"/>
    <n v="571.80118023027933"/>
    <n v="374.13414835944224"/>
    <s v="Tidal Caloosahatchee"/>
    <s v="N/A"/>
    <n v="694176"/>
    <n v="248572.3"/>
    <s v="County"/>
    <s v="N/A"/>
    <s v="N/A"/>
    <s v="N/A"/>
    <s v="N/A"/>
    <s v="N/A"/>
    <s v="N/A"/>
    <m/>
    <s v="Non-structural"/>
    <s v="Ongoing"/>
    <x v="1"/>
    <n v="269.88724000000002"/>
    <s v="N/A"/>
  </r>
  <r>
    <s v="CALO"/>
    <n v="2273"/>
    <s v="Lee County"/>
    <s v="N/A"/>
    <s v="LC-17"/>
    <s v="North Fort Myers Surface Water Restoration: Powell Creek Extension and Lost Lane Levee"/>
    <s v="Conveyance improvements to increase residence time, rehydrate offsite wetlands on adjacent properties, and accommodate offsite flows."/>
    <s v="Hydrologic Restoration"/>
    <x v="1"/>
    <s v="Prior to 2012"/>
    <x v="14"/>
    <n v="13638.332035764297"/>
    <n v="3535.7929785389233"/>
    <s v="Tidal Caloosahatchee"/>
    <n v="397.1"/>
    <n v="3485817"/>
    <n v="17101"/>
    <s v="County"/>
    <s v="N/A"/>
    <s v="N/A"/>
    <s v="N/A"/>
    <n v="26.738579000000001"/>
    <n v="-81.871095999999994"/>
    <s v="N/A"/>
    <m/>
    <s v="Structural"/>
    <s v="Completed"/>
    <x v="1"/>
    <n v="1349.8897919999999"/>
    <s v="N/A"/>
  </r>
  <r>
    <s v="CALO"/>
    <n v="2289"/>
    <s v="Lee County"/>
    <s v="N/A"/>
    <s v="LC-18"/>
    <s v="Whiskey Creek Weir Reconstruction"/>
    <s v="Retention lake weir repairs to restore originally intended design and operation."/>
    <s v="Control Structure"/>
    <x v="1"/>
    <s v="Prior to 2012"/>
    <x v="7"/>
    <n v="27712.185154679402"/>
    <n v="9113.0035318918763"/>
    <s v="Tidal Caloosahatchee"/>
    <n v="549.6"/>
    <s v="N/A"/>
    <s v="N/A"/>
    <s v="County"/>
    <s v="N/A"/>
    <s v="N/A"/>
    <s v="N/A"/>
    <n v="26.575157999999998"/>
    <n v="-81.892427999999995"/>
    <s v="N/A"/>
    <m/>
    <s v="Structural"/>
    <s v="Completed"/>
    <x v="1"/>
    <n v="1525.8834879999999"/>
    <s v="N/A"/>
  </r>
  <r>
    <s v="CALO"/>
    <n v="2271"/>
    <s v="Lee County"/>
    <s v="SFWMD/ U.S. Fish and Wildlife Service (FWS)"/>
    <s v="LC-19"/>
    <s v="Caloosahatchee Creeks East"/>
    <s v="Hydrologic restoration."/>
    <s v="Hydrologic Restoration"/>
    <x v="1"/>
    <s v="Prior to 2012"/>
    <x v="7"/>
    <n v="248.49752398516296"/>
    <n v="20.107639452434384"/>
    <s v="Tidal Caloosahatchee"/>
    <n v="6567.4"/>
    <n v="326955"/>
    <s v="N/A"/>
    <s v="County/ SFWMD/ FWS"/>
    <s v="$95,000"/>
    <s v="N/A"/>
    <s v="36-06163-P"/>
    <n v="26.703710999999998"/>
    <n v="-81.793069000000003"/>
    <s v="N/A"/>
    <m/>
    <s v="Structural"/>
    <s v="Completed"/>
    <x v="1"/>
    <n v="1928.2195919999999"/>
    <s v="N/A"/>
  </r>
  <r>
    <s v="CALO"/>
    <n v="2270"/>
    <s v="Lee County"/>
    <s v="DEP/ SFWMD"/>
    <s v="LC-20"/>
    <s v="Powell Creek Filter Marsh"/>
    <s v="Created wetland areas, boardwalks, and trails and a stabilized crossing of Powell Creek."/>
    <s v="Constructed Wetland Treatment"/>
    <x v="1"/>
    <s v="Prior to 2012"/>
    <x v="14"/>
    <n v="5244.675772773975"/>
    <n v="2053.0619487093727"/>
    <s v="Tidal Caloosahatchee"/>
    <n v="1169.5999999999999"/>
    <n v="1440000"/>
    <n v="38395"/>
    <s v="County/ DEP"/>
    <s v="$1,025,000"/>
    <s v="S0606"/>
    <s v="N/A"/>
    <n v="26.691058999999999"/>
    <n v="-81.867694999999998"/>
    <s v="N/A"/>
    <m/>
    <s v="Structural"/>
    <s v="Completed"/>
    <x v="1"/>
    <n v="767.93125599999996"/>
    <s v="N/A"/>
  </r>
  <r>
    <s v="CALO"/>
    <n v="2269"/>
    <s v="Lee County"/>
    <s v="DEP"/>
    <s v="LC-21"/>
    <s v="Nalle Grade Stormwater Park"/>
    <s v="Dry retention and wet detention ponds."/>
    <s v="Stormwater Treatment Areas (STAs)"/>
    <x v="3"/>
    <s v="2019"/>
    <x v="16"/>
    <n v="12084.348998984902"/>
    <n v="1027.302150234586"/>
    <s v="Tidal Caloosahatchee"/>
    <n v="720.36"/>
    <n v="3500000"/>
    <s v="TBD"/>
    <s v="County/ DEP"/>
    <s v="DEP - $500,000"/>
    <s v="S0727"/>
    <s v="N/A"/>
    <n v="26.753631899999998"/>
    <n v="-81.821141109999999"/>
    <s v="N/A"/>
    <m/>
    <s v="Structural"/>
    <s v="Future"/>
    <x v="1"/>
    <n v="624.59618399999999"/>
    <s v="N/A"/>
  </r>
  <r>
    <s v="CALO"/>
    <m/>
    <s v="LA-MSID (formerly ECWCD)"/>
    <s v="Not provided"/>
    <s v="LA-13"/>
    <s v="CREST"/>
    <s v="Purchased 100 acres agricultural land to construct STA."/>
    <s v="Land Use Change"/>
    <x v="1"/>
    <s v="2018"/>
    <x v="9"/>
    <n v="376.56605817548927"/>
    <n v="70.243951754660188"/>
    <s v="West Caloosahatchee"/>
    <n v="103.52288594552769"/>
    <n v="255800"/>
    <s v="Not provided"/>
    <s v="LA-MSID"/>
    <s v="$255,800"/>
    <s v="N/A"/>
    <s v="N/A"/>
    <n v="26.644829999999999"/>
    <n v="-81.522099999999995"/>
    <s v="N/A"/>
    <s v="TBD"/>
    <s v="Non-structural"/>
    <m/>
    <x v="6"/>
    <s v="N/A"/>
    <s v="N/A"/>
  </r>
  <r>
    <s v="CALO"/>
    <n v="2259"/>
    <s v="Lee County"/>
    <s v="SFWMD"/>
    <s v="LC-22"/>
    <s v="Deep Lagoon Hydrologic Restoration"/>
    <s v="Hydrologic restoration and enhancement, water conservation, wildlife habitat enhancement, and flood protection for surrounding area."/>
    <s v="Hydrologic Restoration"/>
    <x v="1"/>
    <s v="Prior to 2012"/>
    <x v="7"/>
    <n v="144.34089922384274"/>
    <n v="26.367895419543377"/>
    <s v="Tidal Caloosahatchee"/>
    <n v="1022.1"/>
    <n v="210959"/>
    <s v="N/A"/>
    <s v="County/ SFWMD"/>
    <s v="County - $78,500/ SFWMD - $102,071"/>
    <s v="N/A"/>
    <s v="4600001404/ 4600002055"/>
    <n v="26.528694999999999"/>
    <n v="-81.924712999999997"/>
    <s v="N/A"/>
    <m/>
    <s v="Structural"/>
    <s v="Completed"/>
    <x v="1"/>
    <n v="1404.774424"/>
    <s v="N/A"/>
  </r>
  <r>
    <s v="CALO"/>
    <n v="2260"/>
    <s v="Lee County"/>
    <s v="DEP"/>
    <s v="LC-23"/>
    <s v="Popash Creek Restoration"/>
    <s v="Hydrologic restoration to more natural flow regime by increasing water storage on property and improving both onsite and off-site flows."/>
    <s v="Hydrologic Restoration"/>
    <x v="1"/>
    <s v="Prior to 2012"/>
    <x v="7"/>
    <n v="271.72196441304749"/>
    <n v="43.94309575370329"/>
    <s v="Tidal Caloosahatchee"/>
    <n v="3517"/>
    <n v="1726625"/>
    <n v="16920"/>
    <s v="County/ DEP"/>
    <s v="$1,726,625"/>
    <s v="LP6838"/>
    <s v="N/A"/>
    <n v="26.758918999999999"/>
    <n v="-81.805657999999994"/>
    <s v="N/A"/>
    <m/>
    <s v="Structural"/>
    <s v="Completed"/>
    <x v="1"/>
    <n v="2991.892832"/>
    <s v="N/A"/>
  </r>
  <r>
    <s v="CALO"/>
    <n v="2261"/>
    <s v="Lee County"/>
    <s v="City of Fort Myers"/>
    <s v="LC-24"/>
    <s v="Billy's Creek Wetland"/>
    <s v="Billy Creek Filter Marsh Park."/>
    <s v="Constructed Wetland Treatment"/>
    <x v="1"/>
    <s v="Prior to 2012"/>
    <x v="7"/>
    <n v="948"/>
    <n v="807"/>
    <s v="Tidal Caloosahatchee"/>
    <n v="1632"/>
    <n v="2500000"/>
    <s v="N/A"/>
    <s v="County/ City of Fort Myers"/>
    <s v="$2,500,000"/>
    <s v="N/A"/>
    <s v="N/A"/>
    <n v="26.662645000000001"/>
    <n v="-81.824427999999997"/>
    <s v="N/A"/>
    <m/>
    <s v="Structural"/>
    <s v="Completed"/>
    <x v="1"/>
    <n v="1217.440928"/>
    <s v="N/A"/>
  </r>
  <r>
    <s v="CALO"/>
    <n v="2262"/>
    <s v="Lee County"/>
    <s v="DEP"/>
    <s v="LC-25"/>
    <s v="Caloosahatchee Creeks Preserve–West Restoration"/>
    <s v="Hydrologic restoration."/>
    <s v="Hydrologic Restoration"/>
    <x v="1"/>
    <s v="2015"/>
    <x v="15"/>
    <n v="16185.209262199154"/>
    <n v="1368.2592402740279"/>
    <s v="Tidal Caloosahatchee"/>
    <n v="1295"/>
    <n v="250000"/>
    <s v="N/A"/>
    <s v="County/ DEP"/>
    <s v="$250,000"/>
    <s v="S0849"/>
    <s v="N/A"/>
    <n v="26.703014"/>
    <n v="-81.809533999999999"/>
    <s v="N/A"/>
    <m/>
    <s v="Structural"/>
    <s v="Future"/>
    <x v="3"/>
    <n v="49.895119999999999"/>
    <s v="N/A"/>
  </r>
  <r>
    <s v="CALO"/>
    <n v="2263"/>
    <s v="Lee County"/>
    <s v="DEP"/>
    <s v="LC-26"/>
    <s v="Yellow Fever Creek – Gator Slough Transfer Facility"/>
    <s v="Return historical flow from Gator Slough Canal system to Yellow Fever Creek. There are 114 acres in the BMAP being treated by this project, there are additional areas being treated outside of the BMAP boundary."/>
    <s v="Hydrologic Restoration"/>
    <x v="0"/>
    <s v="2021"/>
    <x v="16"/>
    <n v="102.5"/>
    <n v="118.4"/>
    <s v="Tidal Caloosahatchee"/>
    <n v="114"/>
    <s v="TBD"/>
    <s v="TBD"/>
    <s v="County/ DEP"/>
    <s v="County - $175,000/ DEP - 817,000"/>
    <s v="S0840/ LPQ0012"/>
    <s v="N/A"/>
    <n v="26.713912000000001"/>
    <n v="-81.933902000000003"/>
    <s v="N/A"/>
    <m/>
    <s v="Structural"/>
    <s v="Future"/>
    <x v="3"/>
    <s v="TBD"/>
    <s v="N/A"/>
  </r>
  <r>
    <s v="CALO"/>
    <n v="2274"/>
    <s v="Lee County"/>
    <s v="DEP"/>
    <s v="LC-27"/>
    <s v="Prairie Pines Preserve Restoration"/>
    <s v="Restoration of historical flows and enhancement and restoration of wetlands."/>
    <s v="Hydrologic Restoration"/>
    <x v="1"/>
    <s v="2018"/>
    <x v="9"/>
    <n v="10356.13080315934"/>
    <n v="837.46594792145606"/>
    <s v="Tidal Caloosahatchee"/>
    <n v="2334"/>
    <n v="600000"/>
    <n v="28295"/>
    <s v="County/ DEP"/>
    <s v="DEP - $300,000"/>
    <s v="S0895"/>
    <s v="N/A"/>
    <n v="26.732617000000001"/>
    <n v="-81.909439000000006"/>
    <s v="N/A"/>
    <m/>
    <s v="Structural"/>
    <s v="Construction in 2017"/>
    <x v="4"/>
    <s v="TBD"/>
    <s v="N/A"/>
  </r>
  <r>
    <s v="CALO"/>
    <n v="2265"/>
    <s v="Lee County"/>
    <s v="N/A"/>
    <s v="LC-28"/>
    <s v="BMAP Plan Development – Basin Study"/>
    <s v="Basin study to identify pollutant sources and identify further actions to reach reduction goals."/>
    <s v="Study"/>
    <x v="1"/>
    <s v="2016"/>
    <x v="13"/>
    <s v="N/A"/>
    <s v="N/A"/>
    <s v="Tidal Caloosahatchee"/>
    <s v="N/A"/>
    <n v="195831"/>
    <s v="N/A"/>
    <s v="County"/>
    <s v="County - $195,831"/>
    <s v="N/A"/>
    <s v="N/A"/>
    <n v="26.652749"/>
    <n v="-81.776875000000004"/>
    <s v="N/A"/>
    <m/>
    <s v="Non-structural"/>
    <m/>
    <x v="4"/>
    <s v="N/A"/>
    <s v="N/A"/>
  </r>
  <r>
    <s v="CALO"/>
    <n v="2257"/>
    <s v="Lee County"/>
    <s v="N/A"/>
    <s v="LC-29"/>
    <s v="Caloosahatchee River-North Fort Myers Nutrient and Bacteria Source Identification Study"/>
    <s v="Watershed study to investigate interactions between onsite sewage treatment and disposal systems (OSTDS), groundwater, and surface water in Caloosahatchee Estuary."/>
    <s v="Study"/>
    <x v="1"/>
    <s v="2017"/>
    <x v="1"/>
    <s v="N/A"/>
    <s v="N/A"/>
    <s v="Tidal Caloosahatchee"/>
    <s v="N/A"/>
    <n v="181352"/>
    <s v="N/A"/>
    <s v="County/ DEP"/>
    <s v="DEP - $89,964"/>
    <s v="NF047"/>
    <s v="N/A"/>
    <n v="26.652749"/>
    <n v="-81.776875000000004"/>
    <s v="N/A"/>
    <m/>
    <s v="Non-structural"/>
    <m/>
    <x v="4"/>
    <s v="N/A"/>
    <s v="N/A"/>
  </r>
  <r>
    <s v="CALO"/>
    <m/>
    <s v="LA-MSID (formerly ECWCD)"/>
    <s v="Not provided"/>
    <s v="LA-14"/>
    <s v="CREST"/>
    <s v="Construct STA."/>
    <s v="Stormwater Treatment Areas (STAs)"/>
    <x v="3"/>
    <s v="2021"/>
    <x v="4"/>
    <n v="14256.496394166274"/>
    <n v="2731.8752497075889"/>
    <s v="West Caloosahatchee"/>
    <n v="12904.120330021264"/>
    <n v="5000000"/>
    <s v="Not provided"/>
    <s v="TBD"/>
    <s v="Not provided"/>
    <s v="TBD"/>
    <s v="Not provided"/>
    <n v="26.644829999999999"/>
    <n v="-81.522099999999995"/>
    <s v="N/A"/>
    <s v="TBD"/>
    <s v="Structural"/>
    <m/>
    <x v="6"/>
    <s v="N/A"/>
    <s v="N/A"/>
  </r>
  <r>
    <s v="CALO"/>
    <n v="2267"/>
    <s v="Lee County"/>
    <s v="N/A"/>
    <s v="LC-30"/>
    <s v="Waterway Estates Wastewater Treatment Facility (WWTF) Closure"/>
    <s v="Closure of facility with direct discharge to Caloosahatchee."/>
    <s v="WWTF Diversion to Reuse"/>
    <x v="1"/>
    <s v="2012"/>
    <x v="17"/>
    <n v="295.03018879108532"/>
    <s v="TBD"/>
    <s v="Tidal Caloosahatchee"/>
    <s v="N/A"/>
    <n v="61565"/>
    <s v="N/A"/>
    <s v="County"/>
    <s v="County - $61,565"/>
    <s v="N/A"/>
    <s v="N/A"/>
    <n v="26.6393111"/>
    <n v="-81.908910359999993"/>
    <s v="N/A"/>
    <m/>
    <s v="Structural"/>
    <m/>
    <x v="7"/>
    <n v="139.25274400000001"/>
    <s v="N/A"/>
  </r>
  <r>
    <s v="CALO"/>
    <n v="2357"/>
    <s v="Lee County"/>
    <s v="SFWMD/ FDOT"/>
    <s v="LC-31"/>
    <s v="Six Mile Cypress Preserve North Hydrologic Restoration"/>
    <s v="Wetland creation, addition of control structures, berms, berm breaches to connect natural and created wetlands, and restoration of historical hydrologic conditions to reduce discharge into Caloosahatchee River."/>
    <s v="Hydrologic Restoration"/>
    <x v="1"/>
    <s v="2013"/>
    <x v="14"/>
    <n v="724.60603567228372"/>
    <n v="194.35260335405403"/>
    <s v="Tidal Caloosahatchee"/>
    <n v="1874"/>
    <n v="2060768"/>
    <n v="70260"/>
    <s v="County/ SFWMD/ FDOT"/>
    <s v="County - $1,493,268/ SFWMD - $450,000/ FDOT - $117,500"/>
    <s v="N/A"/>
    <n v="4600002716"/>
    <n v="26.638532000000001"/>
    <n v="-81.778206999999995"/>
    <s v="N/A"/>
    <m/>
    <s v="Structural"/>
    <m/>
    <x v="7"/>
    <s v="TBD"/>
    <s v="TBD"/>
  </r>
  <r>
    <s v="CALO"/>
    <n v="2356"/>
    <s v="Lee County"/>
    <s v="DEP/ SFWMD"/>
    <s v="LC-32"/>
    <s v="Bob Jane's Preserve Environmental Restoration"/>
    <s v="Hydrologic improvements in portion of preserve via berms, beaches, and ditch blocks."/>
    <s v="Hydrologic Restoration"/>
    <x v="1"/>
    <s v="Not provided"/>
    <x v="13"/>
    <n v="1216.3985676407892"/>
    <n v="118.72308819208398"/>
    <s v="Tidal Caloosahatchee; West Caloosahatchee"/>
    <s v="N/A"/>
    <n v="200000"/>
    <s v="N/A"/>
    <s v="County/ DEP/ SFWMD"/>
    <s v="$100,000"/>
    <s v="S0871"/>
    <s v="N/A"/>
    <n v="26.754301999999999"/>
    <n v="-81.655325000000005"/>
    <s v="N/A"/>
    <m/>
    <s v="Structural"/>
    <m/>
    <x v="7"/>
    <s v="TBD"/>
    <s v="N/A"/>
  </r>
  <r>
    <s v="CALO"/>
    <m/>
    <s v="City of LaBelle"/>
    <s v="DEP"/>
    <s v="LB-01"/>
    <s v="City of LaBelle Zone J Septic Tank to Central Sewer"/>
    <s v="Septic tank conversion project that will consist of a pump station, force main and gravity sewer to provide an estimated 55 customers (area buildout) with sanitary sewer."/>
    <s v="Wastewater Service Area Expansion"/>
    <x v="3"/>
    <s v="2019"/>
    <x v="16"/>
    <n v="242.84366899670178"/>
    <s v="N/A"/>
    <s v="Caloosahatchee BMAP"/>
    <n v="22"/>
    <n v="908000"/>
    <s v="TBD"/>
    <s v="DEP/ City"/>
    <s v="$908,000"/>
    <s v="LPQ 0002"/>
    <s v="N/A"/>
    <n v="26.766285"/>
    <n v="-81.443199000000007"/>
    <s v="N/A"/>
    <s v="N/A"/>
    <s v="Structural"/>
    <m/>
    <x v="6"/>
    <s v="N/A"/>
    <s v="N/A"/>
  </r>
  <r>
    <s v="CALO"/>
    <n v="2239"/>
    <s v="Lee County"/>
    <s v="DEP"/>
    <s v="LC-33"/>
    <s v="Telegraph Creek Preserve"/>
    <s v="Ditch blocks and native plantings in conveyances."/>
    <s v="Hydrologic Restoration"/>
    <x v="1"/>
    <s v="2016"/>
    <x v="13"/>
    <n v="421.09349076693036"/>
    <n v="43.785945723380522"/>
    <s v="Tidal Caloosahatchee"/>
    <s v="N/A"/>
    <n v="107337"/>
    <n v="54639"/>
    <s v="County/ DEP"/>
    <s v="$125,000"/>
    <s v="S0873"/>
    <s v="N/A"/>
    <n v="26.744064000000002"/>
    <n v="-81.696723000000006"/>
    <s v="N/A"/>
    <m/>
    <s v="Structural"/>
    <m/>
    <x v="7"/>
    <s v="TBD"/>
    <s v="N/A"/>
  </r>
  <r>
    <s v="CALO"/>
    <n v="2238"/>
    <s v="Lee County"/>
    <s v="LA-MSID/ FDOT"/>
    <s v="LC-34"/>
    <s v="West Harnes Marsh"/>
    <s v="Creation and enhancement of wetland marsh ecosystem, including hydraulic connection for water quality improvement and stormwater attenuation."/>
    <s v="Constructed Wetland Treatment"/>
    <x v="3"/>
    <s v="2018"/>
    <x v="16"/>
    <s v="TBD"/>
    <s v="TBD"/>
    <s v="Tidal Caloosahatchee"/>
    <s v="TBD"/>
    <s v="TBD"/>
    <s v="TBD"/>
    <s v="County/ LA-MSID"/>
    <s v="N/A"/>
    <s v="N/A"/>
    <s v="N/A"/>
    <n v="26.647427"/>
    <n v="-81.705286999999998"/>
    <s v="N/A"/>
    <m/>
    <s v="Structural"/>
    <m/>
    <x v="7"/>
    <s v="TBD"/>
    <s v="N/A"/>
  </r>
  <r>
    <s v="CALO"/>
    <n v="2243"/>
    <s v="Lee County"/>
    <s v="DEP/ SFWMD"/>
    <s v="LC-35"/>
    <s v="C-43 Water Quality Treatment and Testing Facility Project (*study/land acquisition)"/>
    <s v="Project to demonstrate and implement cost-effective, wetland-based strategies for reduction of dissolved organic nitrogen (DON)."/>
    <s v="Study"/>
    <x v="3"/>
    <s v="2015"/>
    <x v="10"/>
    <s v="N/A"/>
    <s v="N/A"/>
    <s v="Tidal Caloosahatchee"/>
    <s v="N/A"/>
    <n v="10000000"/>
    <s v="N/A"/>
    <s v="County/ DEP/ SFWMD"/>
    <s v="N/A"/>
    <s v="N/A"/>
    <s v="N/A"/>
    <n v="26.700686000000001"/>
    <n v="-81.529159000000007"/>
    <s v="N/A"/>
    <m/>
    <s v="Non-structural"/>
    <m/>
    <x v="7"/>
    <s v="N/A"/>
    <s v="N/A"/>
  </r>
  <r>
    <s v="CALO"/>
    <n v="2255"/>
    <s v="Lee County"/>
    <s v="DEP/ SFWMD"/>
    <s v="LC-36"/>
    <s v="Fichter's Creek Restoration Project"/>
    <s v="Restoration of hydroperiod and water quality in Fichter's Creek."/>
    <s v="Hydrologic Restoration"/>
    <x v="1"/>
    <s v="2018"/>
    <x v="9"/>
    <n v="1218.4432883749002"/>
    <n v="114.40798681264"/>
    <s v="West Caloosahatchee"/>
    <n v="4781"/>
    <n v="2000000"/>
    <n v="35000"/>
    <s v="County/ DEP/ SFWMD"/>
    <s v="DEP - $450,000/ SFWMD - $300,000"/>
    <s v="S0893"/>
    <n v="4600003525"/>
    <n v="26.73001"/>
    <n v="-81.662021999999993"/>
    <s v="N/A"/>
    <m/>
    <s v="Structural"/>
    <m/>
    <x v="7"/>
    <n v="659.06917599999997"/>
    <s v="N/A"/>
  </r>
  <r>
    <s v="CALO"/>
    <n v="2292"/>
    <s v="Lee County"/>
    <s v="DEP"/>
    <s v="LC-37"/>
    <s v="Spanish Creek at Daniel's Preserve Restoration"/>
    <s v="Restoration of wetland hydroperiod and sheet flow attenuation."/>
    <s v="Hydrologic Restoration"/>
    <x v="1"/>
    <s v="2014"/>
    <x v="6"/>
    <n v="828.91361983327317"/>
    <n v="46.256859367211256"/>
    <s v="West Caloosahatchee"/>
    <n v="4030.6556338808919"/>
    <n v="400000"/>
    <n v="3000"/>
    <s v="County/ DEP"/>
    <s v="DEP - $650,602/ SFWMD - $80,000"/>
    <s v="S0732"/>
    <n v="4600002828"/>
    <n v="26.733933"/>
    <n v="-81.604478"/>
    <s v="N/A"/>
    <m/>
    <s v="Structural"/>
    <m/>
    <x v="7"/>
    <n v="50.802303999999999"/>
    <s v="N/A"/>
  </r>
  <r>
    <s v="CALO"/>
    <n v="2285"/>
    <s v="Lee County"/>
    <s v="N/A"/>
    <s v="LC-38"/>
    <s v="Deep Lagoon Pollutant Load Reduction Phase 2-Watershed Analysis Report"/>
    <s v="Basin study to identify pollutant sources and identify further actions to reach reduction goals."/>
    <s v="Study"/>
    <x v="1"/>
    <s v="2018"/>
    <x v="9"/>
    <s v="N/A"/>
    <s v="N/A"/>
    <s v="Tidal Caloosahatchee"/>
    <s v="N/A"/>
    <n v="70000"/>
    <s v="N/A"/>
    <s v="County"/>
    <s v="N/A"/>
    <s v="N/A"/>
    <s v="N/A"/>
    <n v="26.519636999999999"/>
    <n v="-81.921543"/>
    <s v="N/A"/>
    <m/>
    <s v="Non-structural"/>
    <m/>
    <x v="7"/>
    <s v="N/A"/>
    <s v="N/A"/>
  </r>
  <r>
    <s v="CALO"/>
    <n v="2276"/>
    <s v="Lee County"/>
    <s v="DEP"/>
    <s v="LC-39"/>
    <s v="North Fort Myers Florida Power and Light (FPL) Feasibility Study"/>
    <s v="Study to identify areas of high nutrient loads and potential BMPs to improve water quality and reduce flooding."/>
    <s v="Study"/>
    <x v="1"/>
    <s v="2018"/>
    <x v="3"/>
    <s v="N/A"/>
    <s v="N/A"/>
    <s v="Tidal Caloosahatchee"/>
    <s v="N/A"/>
    <n v="200000"/>
    <s v="N/A"/>
    <s v="County/ DEP"/>
    <s v="DEP - $200,000"/>
    <s v="S0894"/>
    <s v="N/A"/>
    <n v="26.661567000000002"/>
    <n v="-81.892679999999999"/>
    <s v="N/A"/>
    <m/>
    <s v="Non-structural"/>
    <m/>
    <x v="7"/>
    <s v="N/A"/>
    <s v="N/A"/>
  </r>
  <r>
    <s v="CALO"/>
    <n v="2340"/>
    <s v="Lee County"/>
    <s v="DEP"/>
    <s v="LC-40"/>
    <s v="Sunniland/Nine Mile Run Drainage Improvements"/>
    <s v="Replacement of failing water control structures (WCS) and reconnection of flow-ways to Hickory Swamp and Buckingham Trails Preserve."/>
    <s v="Hydrologic Restoration"/>
    <x v="0"/>
    <s v="2021"/>
    <x v="16"/>
    <s v="TBD"/>
    <s v="TBD"/>
    <s v="Tidal Caloosahatchee"/>
    <s v="TBD"/>
    <n v="2000000"/>
    <s v="TBD"/>
    <s v="County/ DEP"/>
    <s v="$300,000"/>
    <s v="LP3602B"/>
    <s v="N/A"/>
    <n v="26.658217"/>
    <n v="-81.744166000000007"/>
    <s v="N/A"/>
    <m/>
    <s v="Structural"/>
    <m/>
    <x v="7"/>
    <s v="TBD"/>
    <s v="N/A"/>
  </r>
  <r>
    <s v="CALO"/>
    <n v="2277"/>
    <s v="Lee County"/>
    <s v="City of Fort Myers"/>
    <s v="LC-41"/>
    <s v="Caloosahatchee Tributary Canal Rehabilitation: L-3"/>
    <s v="Reshaping canal banks, littoral planting, and possible addition of control structure(s)."/>
    <s v="Regional Stormwater Treatment"/>
    <x v="0"/>
    <s v="2021"/>
    <x v="16"/>
    <n v="985.49522092318409"/>
    <n v="189.59088362849963"/>
    <s v="Tidal Caloosahatchee"/>
    <s v="TBD"/>
    <n v="500000"/>
    <s v="TBD"/>
    <s v="County/ City of Fort Myers/ DEP"/>
    <s v="DEP - $400,000"/>
    <s v="LPA0063"/>
    <s v="N/A"/>
    <n v="26.57583619"/>
    <n v="-81.875846039999999"/>
    <s v="N/A"/>
    <m/>
    <s v="Structural"/>
    <m/>
    <x v="7"/>
    <s v="TBD"/>
    <s v="N/A"/>
  </r>
  <r>
    <s v="CALO"/>
    <n v="4369"/>
    <s v="Lee County"/>
    <s v="N/A"/>
    <s v="LC-42"/>
    <s v="Bob Janes Preserve Restoration Feasibility Study"/>
    <s v="Study to identify areas of high nutrient loads and potential BMPs to improve water quality, and restore historic hydrologic conditions."/>
    <s v="Study"/>
    <x v="1"/>
    <s v="2019"/>
    <x v="1"/>
    <s v="N/A"/>
    <s v="N/A"/>
    <s v="Tidal Caloosahatchee; West Caloosahatchee"/>
    <s v="N/A"/>
    <n v="228285"/>
    <s v="N/A"/>
    <s v="County"/>
    <s v="County - $228,285"/>
    <s v="N/A"/>
    <s v="N/A"/>
    <n v="26.753018999999998"/>
    <n v="-81.648373000000007"/>
    <s v="N/A"/>
    <m/>
    <s v="Non-structural"/>
    <s v="Underway"/>
    <x v="5"/>
    <s v="N/A"/>
    <s v="N/A"/>
  </r>
  <r>
    <s v="CALO"/>
    <n v="4370"/>
    <s v="Lee County"/>
    <s v="N/A"/>
    <s v="LC-43"/>
    <s v="GS-10"/>
    <s v="Land purchase and conversion to conservation land use."/>
    <s v="Land Use Change"/>
    <x v="1"/>
    <s v="2019"/>
    <x v="3"/>
    <n v="15177.8380315002"/>
    <n v="10640.046788302505"/>
    <s v="Tidal Caloosahatchee; West Caloosahatchee"/>
    <s v="N/A"/>
    <n v="3870000"/>
    <s v="N/A"/>
    <s v="County"/>
    <s v="County - $3,870,000"/>
    <s v="N/A"/>
    <s v="N/A"/>
    <n v="26.66855657"/>
    <n v="-81.610188399999998"/>
    <s v="N/A"/>
    <m/>
    <s v="Non-structural"/>
    <s v="Completed"/>
    <x v="5"/>
    <s v="N/A"/>
    <s v="N/A"/>
  </r>
  <r>
    <s v="CALO"/>
    <n v="4855"/>
    <s v="Lee County"/>
    <s v="DEP"/>
    <s v="LC-44"/>
    <s v="Powell Creek / Old Bridge Park Restoration"/>
    <s v="Filter marsh creation and BMPs."/>
    <s v="Constructed Wetland Treatment"/>
    <x v="0"/>
    <s v="2021"/>
    <x v="11"/>
    <s v="TBD"/>
    <s v="TBD"/>
    <s v="Tidal Caloosahatchee"/>
    <s v="TBD"/>
    <n v="974000"/>
    <s v="TBD"/>
    <s v="DEP"/>
    <s v="DEP - $774,000"/>
    <s v="LPQ0011"/>
    <s v="N/A"/>
    <n v="26.69098357"/>
    <n v="-81.870855939999998"/>
    <s v="N/A"/>
    <m/>
    <s v="Structural"/>
    <s v="Underway"/>
    <x v="0"/>
    <s v="N/A"/>
    <s v="N/A"/>
  </r>
  <r>
    <s v="CALO"/>
    <m/>
    <s v="City of LaBelle"/>
    <s v="DEP"/>
    <s v="LB-02"/>
    <s v="City of LaBelle Zone A Septic Tank to Central Sewer"/>
    <s v="Septic tank conversion project that will consist of a pump station, force main and gravity sewer to provide an estimated 496 customers (area buildout) with sanitary sewer."/>
    <s v="Wastewater Service Area Expansion"/>
    <x v="3"/>
    <s v="2019"/>
    <x v="16"/>
    <n v="2222.0195713198209"/>
    <s v="N/A"/>
    <s v="Caloosahatchee BMAP"/>
    <n v="91"/>
    <n v="3128500"/>
    <s v="TBD"/>
    <s v="DEP/ City"/>
    <s v="$3,128,500"/>
    <s v="LPQ 0003"/>
    <s v="N/A"/>
    <n v="26.764019999999999"/>
    <n v="-81.434432000000001"/>
    <s v="N/A"/>
    <s v="N/A"/>
    <s v="Structural"/>
    <m/>
    <x v="6"/>
    <s v="N/A"/>
    <s v="N/A"/>
  </r>
  <r>
    <s v="CALO"/>
    <m/>
    <s v="City of LaBelle"/>
    <s v="DEP"/>
    <s v="LB-03"/>
    <s v="City of LaBelle Zone B Septic Tank to Central Sewer"/>
    <s v="Septic tank conversion project that will consist of a pump station, force main and gravity sewer to provide an estimated 315 customers (area buildout) with sanitary sewer."/>
    <s v="Wastewater Service Area Expansion"/>
    <x v="0"/>
    <s v="2021"/>
    <x v="11"/>
    <n v="1408.4932801808702"/>
    <s v="N/A"/>
    <s v="Caloosahatchee BMAP"/>
    <n v="110"/>
    <n v="3243000"/>
    <s v="TBD"/>
    <s v="DEP/ City"/>
    <s v="TBD"/>
    <s v="LPQ 0020"/>
    <s v="N/A"/>
    <n v="26.764330000000001"/>
    <n v="-81.428092000000007"/>
    <s v="N/A"/>
    <s v="N/A"/>
    <s v="Structural"/>
    <m/>
    <x v="6"/>
    <s v="N/A"/>
    <s v="N/A"/>
  </r>
  <r>
    <s v="CALO"/>
    <n v="4856"/>
    <s v="Lee County"/>
    <s v="DEP"/>
    <s v="LC-45"/>
    <s v="Deep Lagoon Preserve Water Quality Improvement Project"/>
    <s v="Retention ponds, channel/ditch modifications, ditch blocks and pumped solutions."/>
    <s v="BMP Treatment Train"/>
    <x v="0"/>
    <s v="2022"/>
    <x v="11"/>
    <s v="TBD"/>
    <s v="TBD"/>
    <s v="Tidal Caloosahatchee"/>
    <s v="TBD"/>
    <n v="3000000"/>
    <s v="TBD"/>
    <s v="TBD"/>
    <s v="TBD"/>
    <s v="TBD"/>
    <s v="N/A"/>
    <n v="26.527458540000001"/>
    <n v="-81.921743059999997"/>
    <s v="N/A"/>
    <m/>
    <s v="Structural"/>
    <s v="Underway"/>
    <x v="0"/>
    <s v="N/A"/>
    <s v="N/A"/>
  </r>
  <r>
    <s v="CALO"/>
    <n v="4857"/>
    <s v="Lee County"/>
    <s v="N/A"/>
    <s v="LC-46"/>
    <s v="Olga Shores Preserve Hydrological Restoration"/>
    <s v="Filter marsh creation. Best Management Practices (BMPs)."/>
    <s v="Hydrologic Restoration"/>
    <x v="0"/>
    <s v="TBD"/>
    <x v="10"/>
    <s v="TBD"/>
    <s v="TBD"/>
    <s v="Tidal Caloosahatchee"/>
    <s v="N/A"/>
    <s v="TBD"/>
    <s v="N/A"/>
    <s v="N/A"/>
    <s v="N/A"/>
    <s v="N/A"/>
    <s v="N/A"/>
    <n v="26.721743379999999"/>
    <n v="-81.709103569999996"/>
    <s v="N/A"/>
    <m/>
    <s v="Structural"/>
    <s v="Underway"/>
    <x v="0"/>
    <s v="N/A"/>
    <s v="N/A"/>
  </r>
  <r>
    <s v="CALO"/>
    <n v="2278"/>
    <s v="Lucaya CDD"/>
    <s v="N/A"/>
    <s v="LU-01"/>
    <s v="Education/ Fertilizer"/>
    <s v="Education."/>
    <s v="Education Efforts"/>
    <x v="2"/>
    <s v="Not provided"/>
    <x v="0"/>
    <n v="1.7503417507097307"/>
    <n v="0.42032141240466742"/>
    <s v="Tidal Caloosahatchee"/>
    <s v="N/A"/>
    <s v="Not provided"/>
    <s v="Not provided"/>
    <s v="Not provided"/>
    <s v="Not provided"/>
    <s v="N/A"/>
    <s v="Not provided"/>
    <n v="26.314312000000001"/>
    <n v="-81.553030000000007"/>
    <s v="N/A"/>
    <m/>
    <s v="Non-structural"/>
    <s v="Completed"/>
    <x v="1"/>
    <s v="Not provided"/>
    <s v="N/A"/>
  </r>
  <r>
    <s v="CALO"/>
    <n v="2279"/>
    <s v="Lucaya CDD"/>
    <s v="N/A"/>
    <s v="LU-02"/>
    <s v="Education/ Pet Waste"/>
    <s v="Education."/>
    <s v="Education Efforts"/>
    <x v="2"/>
    <s v="Not provided"/>
    <x v="0"/>
    <n v="1.7503417507097307"/>
    <n v="0.42032141240466742"/>
    <s v="Tidal Caloosahatchee"/>
    <s v="N/A"/>
    <s v="Not provided"/>
    <s v="Not provided"/>
    <s v="Not provided"/>
    <s v="Not provided"/>
    <s v="N/A"/>
    <s v="Not provided"/>
    <n v="26.314312000000001"/>
    <n v="-81.553030000000007"/>
    <s v="N/A"/>
    <m/>
    <s v="Non-structural"/>
    <s v="Completed"/>
    <x v="1"/>
    <s v="Not provided"/>
    <s v="N/A"/>
  </r>
  <r>
    <s v="CALO"/>
    <n v="5218"/>
    <s v="City of Moore Haven"/>
    <s v="Glades County"/>
    <s v="MH-01"/>
    <s v="Glades County Caloosahatchee River and Estuary Area Wastewater Grant"/>
    <s v="Elimination of aging and/or failing existing septic systems in City of Moore Haven. Project also provides for additional conveyance capacity for additional homes and businesses."/>
    <s v="OSTDS Phase Out"/>
    <x v="0"/>
    <s v="Not provided"/>
    <x v="16"/>
    <n v="1252.7"/>
    <s v="N/A"/>
    <s v="East Caloosahatchee"/>
    <n v="86.5"/>
    <n v="994420"/>
    <s v="N/A"/>
    <s v="DEP"/>
    <s v="DEP - $891,848"/>
    <s v="LP22023"/>
    <s v="N/A"/>
    <s v="Not provided"/>
    <s v="Not provided"/>
    <s v="DEP/ City"/>
    <m/>
    <s v="Structural"/>
    <m/>
    <x v="0"/>
    <s v="Not provided"/>
    <s v="Not provided"/>
  </r>
  <r>
    <s v="CALO"/>
    <n v="5230"/>
    <s v="Lee County"/>
    <s v="N/A"/>
    <s v="LC-47"/>
    <s v="Microbial Source Tracking in Lee County Waterways"/>
    <s v="Watershed study to investigate interactions between OSTDS and surface water in the Caloosahatchee Estuary."/>
    <s v="Study"/>
    <x v="0"/>
    <s v="2021"/>
    <x v="16"/>
    <s v="N/A"/>
    <s v="N/A"/>
    <s v="Tidal Caloosahatchee"/>
    <s v="N/A"/>
    <n v="645000"/>
    <s v="N/A"/>
    <s v="County"/>
    <s v="N/A"/>
    <s v="N/A"/>
    <s v="N/A"/>
    <s v="N/A"/>
    <s v="N/A"/>
    <s v="N/A"/>
    <m/>
    <s v="Non-structural"/>
    <m/>
    <x v="0"/>
    <s v="N/A"/>
    <s v="N/A"/>
  </r>
  <r>
    <s v="CALO"/>
    <m/>
    <s v="Lee County"/>
    <s v="N/A"/>
    <s v="LC-48"/>
    <s v="Olga Shores Preserve"/>
    <s v="Land purchase and conversion to conservation land use."/>
    <s v="Land Use Change"/>
    <x v="1"/>
    <s v="2017"/>
    <x v="13"/>
    <n v="1.7304584191971344"/>
    <n v="0.26411505700228588"/>
    <s v="Tidal Caloosahatchee"/>
    <n v="91.726565258633642"/>
    <n v="2659059"/>
    <s v="TBD"/>
    <s v="County"/>
    <s v="County - $2,659,059"/>
    <s v="N/A"/>
    <s v="N/A"/>
    <n v="26.720963999999999"/>
    <n v="-81.708499000000003"/>
    <s v="N/A"/>
    <m/>
    <s v="Non-structural"/>
    <m/>
    <x v="6"/>
    <s v="N/A"/>
    <s v="N/A"/>
  </r>
  <r>
    <s v="CALO"/>
    <n v="5219"/>
    <s v="Portico CDD"/>
    <s v="N/A"/>
    <s v="PORT-01"/>
    <s v="Education/Fertilizer"/>
    <s v="FYN; landscape, irrigation, and fertilizer ordinances; pamphlets, PSAs, website, illicit discharge program; WETPLAN."/>
    <s v="Education Efforts"/>
    <x v="2"/>
    <s v="Not provided"/>
    <x v="0"/>
    <n v="66.242142460780002"/>
    <n v="7.6119449637880008"/>
    <s v="West Caloosahatchee"/>
    <n v="250.7"/>
    <s v="Not provided"/>
    <s v="Not provided"/>
    <s v="Not provided"/>
    <s v="Not provided"/>
    <s v="N/A"/>
    <s v="Not provided"/>
    <s v="Not provided"/>
    <s v="Not provided"/>
    <s v="N/A"/>
    <m/>
    <s v="Non-structural"/>
    <m/>
    <x v="0"/>
    <s v="Not provided"/>
    <s v="Not provided"/>
  </r>
  <r>
    <s v="CALO"/>
    <n v="5220"/>
    <s v="Portico CDD"/>
    <s v="N/A"/>
    <s v="PORT-02"/>
    <s v="Control Structures"/>
    <s v="CS-A1 is a Modified Type H Inlet, CS-A2 is a Modified Type E Inlet, CS-B1 is a Modified Type C Inlet."/>
    <s v="Control Structure"/>
    <x v="1"/>
    <s v="Not provided"/>
    <x v="18"/>
    <s v="TBD"/>
    <s v="TBD"/>
    <s v="West Caloosahatchee"/>
    <s v="N/A"/>
    <s v="Not provided"/>
    <s v="Not provided"/>
    <s v="Not provided"/>
    <s v="Not provided"/>
    <s v="N/A"/>
    <s v="Not provided"/>
    <n v="26.689083159999999"/>
    <n v="-81.703337520000005"/>
    <s v="N/A"/>
    <m/>
    <s v="Structural"/>
    <m/>
    <x v="0"/>
    <s v="Not provided"/>
    <s v="Not provided"/>
  </r>
  <r>
    <s v="CALO"/>
    <n v="5221"/>
    <s v="Portico CDD"/>
    <s v="N/A"/>
    <s v="PORT-03"/>
    <s v="Conservation Lands"/>
    <s v="Conversion of agricultural lands to natural conservation lands."/>
    <s v="Land Use Change"/>
    <x v="1"/>
    <s v="Not provided"/>
    <x v="3"/>
    <s v="TBD"/>
    <s v="TBD"/>
    <s v="West Caloosahatchee"/>
    <s v="N/A"/>
    <s v="Not provided"/>
    <s v="Not provided"/>
    <s v="Not provided"/>
    <s v="Not provided"/>
    <s v="N/A"/>
    <s v="Not provided"/>
    <n v="26.697928000000001"/>
    <n v="-81.726794999999996"/>
    <s v="N/A"/>
    <m/>
    <s v="Non-structural"/>
    <m/>
    <x v="0"/>
    <s v="Not provided"/>
    <s v="Not provided"/>
  </r>
  <r>
    <s v="CALO"/>
    <n v="5222"/>
    <s v="Portico CDD"/>
    <s v="N/A"/>
    <s v="PORT-04"/>
    <s v="Stormwater Aeration System"/>
    <s v="Aeration systems on surface water management ponds A1, A2, A3, A4, A5, A9, A10, B1, and B2."/>
    <s v="Stormwater Aeration System"/>
    <x v="1"/>
    <s v="Not provided"/>
    <x v="13"/>
    <s v="TBD"/>
    <s v="TBD"/>
    <s v="West Caloosahatchee"/>
    <s v="N/A"/>
    <s v="Not provided"/>
    <s v="Not provided"/>
    <s v="Not provided"/>
    <s v="Not provided"/>
    <s v="N/A"/>
    <s v="Not provided"/>
    <n v="26.697928000000001"/>
    <n v="-81.726794999999996"/>
    <s v="N/A"/>
    <m/>
    <s v="Structural"/>
    <m/>
    <x v="0"/>
    <s v="Not provided"/>
    <s v="Not provided"/>
  </r>
  <r>
    <s v="CALO"/>
    <n v="5223"/>
    <s v="Sugarland Drainage District"/>
    <s v="DEP/ FDACS"/>
    <s v="SD-01"/>
    <s v="Public Education and Outreach"/>
    <s v="Updates on BMAP and requirements during annual landowner meetings."/>
    <s v="Education Efforts"/>
    <x v="0"/>
    <s v="2020"/>
    <x v="0"/>
    <s v="N/A"/>
    <s v="N/A"/>
    <s v="East Caloosahatchee"/>
    <s v="N/A"/>
    <n v="500"/>
    <s v="N/A"/>
    <s v="Sugarland Drainage District"/>
    <s v="$500"/>
    <s v="N/A"/>
    <s v="N/A"/>
    <n v="26.730143999999999"/>
    <n v="-80.964206000000004"/>
    <s v="N/A"/>
    <m/>
    <s v="Non-structural"/>
    <m/>
    <x v="0"/>
    <s v="Not provided"/>
    <s v="Not provided"/>
  </r>
  <r>
    <s v="CALO"/>
    <n v="5224"/>
    <s v="Sugarland Drainage District"/>
    <s v="FDACS"/>
    <s v="SD-02"/>
    <s v="FDACS BMP Assistance"/>
    <s v="Provide assistance to FDACS, as needed, to encourage landowners to enroll in BMPs."/>
    <s v="Agricultural BMPs"/>
    <x v="0"/>
    <s v="2020"/>
    <x v="0"/>
    <s v="N/A"/>
    <s v="N/A"/>
    <s v="East Caloosahatchee"/>
    <s v="N/A"/>
    <n v="1000"/>
    <s v="N/A"/>
    <s v="Sugarland Drainage District"/>
    <s v="$1,000"/>
    <s v="N/A"/>
    <s v="N/A"/>
    <n v="26.730143999999999"/>
    <n v="-80.964206000000004"/>
    <s v="N/A"/>
    <m/>
    <s v="Non-structural"/>
    <m/>
    <x v="0"/>
    <s v="Not provided"/>
    <s v="Not provided"/>
  </r>
  <r>
    <s v="CALO"/>
    <n v="5225"/>
    <s v="Sugarland Drainage District"/>
    <s v="N/A"/>
    <s v="SD-03"/>
    <s v="Nutrient Controls"/>
    <s v="No application of fertilizer in district's rights-of-way."/>
    <s v="Fertilizer Cessation"/>
    <x v="1"/>
    <s v="2020"/>
    <x v="1"/>
    <s v="N/A"/>
    <s v="N/A"/>
    <s v="East Caloosahatchee"/>
    <s v="N/A"/>
    <n v="0"/>
    <s v="N/A"/>
    <s v="Sugarland Drainage District"/>
    <s v="N/A"/>
    <s v="N/A"/>
    <s v="N/A"/>
    <n v="26.753411"/>
    <s v="-80.9854.89"/>
    <s v="N/A"/>
    <m/>
    <s v="Non-structural"/>
    <m/>
    <x v="0"/>
    <s v="Not provided"/>
    <s v="Not provided"/>
  </r>
  <r>
    <s v="CALO"/>
    <n v="5226"/>
    <s v="Sugarland Drainage District"/>
    <s v="N/A"/>
    <s v="SD-04"/>
    <s v="Slow Velocity in the Main Canal"/>
    <s v="Minimize sediment transport by slowing velocity in main canal near main discharge structure."/>
    <s v="Control Structure"/>
    <x v="0"/>
    <s v="2021"/>
    <x v="10"/>
    <s v="N/A"/>
    <s v="N/A"/>
    <s v="East Caloosahatchee"/>
    <s v="N/A"/>
    <n v="4500"/>
    <s v="N/A"/>
    <s v="Sugarland Drainage District"/>
    <s v="$4,500"/>
    <s v="N/A"/>
    <s v="N/A"/>
    <n v="26.753411"/>
    <s v="-80.9854.89"/>
    <s v="N/A"/>
    <m/>
    <s v="Structural"/>
    <m/>
    <x v="0"/>
    <s v="Not provided"/>
    <s v="Not provided"/>
  </r>
  <r>
    <s v="CALO"/>
    <n v="5227"/>
    <s v="Sugarland Drainage District"/>
    <s v="N/A"/>
    <s v="SD-05"/>
    <s v="Control Structures"/>
    <s v="Annual maintenance of water control structures."/>
    <s v="Control Structure"/>
    <x v="2"/>
    <s v="2021"/>
    <x v="0"/>
    <s v="N/A"/>
    <s v="N/A"/>
    <s v="East Caloosahatchee"/>
    <s v="N/A"/>
    <n v="2500"/>
    <s v="N/A"/>
    <s v="Sugarland Drainage District"/>
    <s v="$2,500"/>
    <s v="N/A"/>
    <s v="N/A"/>
    <n v="26.765592000000002"/>
    <n v="-80.959603000000001"/>
    <s v="N/A"/>
    <m/>
    <s v="Structural"/>
    <m/>
    <x v="0"/>
    <s v="Not provided"/>
    <s v="Not provided"/>
  </r>
  <r>
    <s v="CALO"/>
    <n v="5228"/>
    <s v="Verandah East CDD"/>
    <s v="N/A"/>
    <s v="VE-01"/>
    <s v="Education/Fertilizer"/>
    <s v="FYN; landscape, irrigation, and fertilizer ordinances; pamphlets, PSAs, website, illicit discharge program; WETPLAN."/>
    <s v="Education Efforts"/>
    <x v="2"/>
    <s v="Not provided"/>
    <x v="0"/>
    <n v="116.54315594848701"/>
    <n v="15.051627967223292"/>
    <s v="Tidal Caloosahatchee"/>
    <n v="452"/>
    <s v="Not provided"/>
    <s v="Not provided"/>
    <s v="Not provided"/>
    <s v="Not provided"/>
    <s v="N/A"/>
    <s v="Not provided"/>
    <s v="Not provided"/>
    <s v="Not provided"/>
    <s v="N/A"/>
    <m/>
    <s v="Non-structural"/>
    <m/>
    <x v="0"/>
    <s v="Not provided"/>
    <s v="Not provided"/>
  </r>
  <r>
    <s v="CALO"/>
    <n v="5229"/>
    <s v="Verandah West CDD"/>
    <s v="N/A"/>
    <s v="VW-01"/>
    <s v="Education/Fertilizer"/>
    <s v="FYN; landscape, irrigation, and fertilizer ordinances; pamphlets, PSAs, website, illicit discharge program; WETPLAN."/>
    <s v="Education Efforts"/>
    <x v="2"/>
    <s v="Not provided"/>
    <x v="0"/>
    <n v="180.34872436642615"/>
    <n v="29.137580185064948"/>
    <s v="Tidal Caloosahatchee"/>
    <n v="488.8"/>
    <s v="Not provided"/>
    <s v="Not provided"/>
    <s v="Not provided"/>
    <s v="Not provided"/>
    <s v="N/A"/>
    <s v="Not provided"/>
    <s v="Not provided"/>
    <s v="Not provided"/>
    <s v="N/A"/>
    <m/>
    <s v="Non-structural"/>
    <m/>
    <x v="0"/>
    <s v="Not provided"/>
    <s v="Not provided"/>
  </r>
  <r>
    <s v="CALO"/>
    <m/>
    <s v="Lee County"/>
    <s v="N/A"/>
    <s v="LC-49"/>
    <s v="Four Mile Cove"/>
    <s v="Land purchase and conversion to conservation land use."/>
    <s v="Land Use Change"/>
    <x v="1"/>
    <s v="2020"/>
    <x v="1"/>
    <n v="23.638535674686636"/>
    <n v="5.5515007653417783"/>
    <s v="Tidal Caloosahatchee"/>
    <n v="179.46269003342599"/>
    <n v="6050000"/>
    <s v="TBD"/>
    <s v="County"/>
    <s v="N/A"/>
    <s v="N/A"/>
    <s v="N/A"/>
    <n v="26.619613999999999"/>
    <n v="-81.923428000000001"/>
    <s v="N/A"/>
    <m/>
    <s v="Non-structural"/>
    <m/>
    <x v="6"/>
    <s v="N/A"/>
    <s v="N/A"/>
  </r>
  <r>
    <s v="CALO"/>
    <m/>
    <s v="Lee County"/>
    <s v="N/A"/>
    <s v="LC-50"/>
    <s v="Alva Scrub Preserve"/>
    <s v="Land purchase and conversion to conservation land use."/>
    <s v="Land Use Change"/>
    <x v="1"/>
    <s v="2000"/>
    <x v="3"/>
    <n v="1909.6228435501757"/>
    <n v="163.71207505076345"/>
    <s v="West Caloosahatchee"/>
    <n v="1175.8469408968199"/>
    <n v="16847808.5"/>
    <s v="TBD"/>
    <s v="County"/>
    <s v="N/A"/>
    <s v="N/A"/>
    <s v="N/A"/>
    <n v="26.692741000000002"/>
    <n v="-81.616339999999994"/>
    <s v="N/A"/>
    <m/>
    <s v="Non-structural"/>
    <m/>
    <x v="6"/>
    <s v="N/A"/>
    <s v="N/A"/>
  </r>
  <r>
    <s v="CALO"/>
    <m/>
    <s v="Lee County"/>
    <s v="N/A"/>
    <s v="LC-51"/>
    <s v="Master Wastewater Treatment Feasibility Analysis"/>
    <s v="Study to support the development of a County-wide Septic Conversion Master Plan (SCMP)."/>
    <s v="Study"/>
    <x v="0"/>
    <s v="2021"/>
    <x v="2"/>
    <s v="N/A"/>
    <s v="N/A"/>
    <s v="Tidal Caloosahatchee"/>
    <s v="N/A"/>
    <s v="TBD"/>
    <s v="N/A"/>
    <s v="County"/>
    <s v="TBD"/>
    <s v="TBD"/>
    <s v="N/A"/>
    <s v="N/A"/>
    <s v="N/A"/>
    <s v="Unknown"/>
    <m/>
    <s v="Non-structural"/>
    <m/>
    <x v="6"/>
    <s v="N/A"/>
    <s v="N/A"/>
  </r>
  <r>
    <s v="CALO"/>
    <m/>
    <s v="Mirada CDD"/>
    <s v="Lee County"/>
    <s v="M-01"/>
    <s v="Education/Fertilizer"/>
    <s v="Public education, training, codes and ordinances provided by Lee County."/>
    <s v="Education Efforts"/>
    <x v="2"/>
    <s v="2017"/>
    <x v="0"/>
    <s v="N/A"/>
    <s v="N/A"/>
    <s v="County-wide; District-wide"/>
    <s v="N/A"/>
    <s v="N/A"/>
    <s v="N/A"/>
    <s v="Lee County"/>
    <s v="N/A"/>
    <s v="N/A"/>
    <s v="N/A"/>
    <s v="26.514444"/>
    <s v="-81.913056"/>
    <s v="N/A"/>
    <m/>
    <s v="Non-structural"/>
    <m/>
    <x v="6"/>
    <s v="N/A"/>
    <s v="N/A"/>
  </r>
  <r>
    <s v="CALO"/>
    <m/>
    <s v="Mirada CDD"/>
    <s v="Lee County"/>
    <s v="M-02"/>
    <s v="Education/Pet Waste"/>
    <s v="Public education and training provided by Lee County."/>
    <s v="Education Efforts"/>
    <x v="2"/>
    <s v="2017"/>
    <x v="0"/>
    <s v="N/A"/>
    <s v="N/A"/>
    <s v="County-wide; District-wide"/>
    <s v="N/A"/>
    <s v="N/A"/>
    <s v="N/A"/>
    <s v="Lee County"/>
    <s v="N/A"/>
    <s v="N/A"/>
    <s v="N/A"/>
    <s v="26.514444"/>
    <s v="-81.913056"/>
    <s v="N/A"/>
    <m/>
    <s v="Non-structural"/>
    <m/>
    <x v="6"/>
    <s v="N/A"/>
    <s v="N/A"/>
  </r>
  <r>
    <s v="CALO"/>
    <m/>
    <s v="City of Moore Haven"/>
    <s v="N/A"/>
    <s v="MH-02"/>
    <s v="Sanitary Sewer Hook-Up Project"/>
    <s v="Hook-up 14 residential housing units on Railroad Ave, Avenue F and 7th street currently on septic systems to central sewer."/>
    <s v="OSTDS Phase Out"/>
    <x v="1"/>
    <s v="2019"/>
    <x v="1"/>
    <n v="175.38132308276161"/>
    <s v="N/A"/>
    <s v="East Caloosahatchee"/>
    <s v="Not provided"/>
    <n v="694400"/>
    <s v="N/A"/>
    <s v="DEO"/>
    <s v="DEO-$644,000/ City - $50,400"/>
    <s v="N/A"/>
    <s v="N/A"/>
    <n v="26.835885000000001"/>
    <n v="-81.099753000000007"/>
    <s v="N/A"/>
    <s v="N"/>
    <s v="Structural"/>
    <m/>
    <x v="6"/>
    <s v="N/A"/>
    <s v="N/A"/>
  </r>
  <r>
    <s v="CALO"/>
    <m/>
    <s v="Port LaBelle CDD"/>
    <s v="N/A"/>
    <s v="PL-01"/>
    <s v="Public Education and Outreach"/>
    <s v="Updates on BMAP and requirements during annual meeting."/>
    <s v="Education Efforts"/>
    <x v="0"/>
    <s v="2019"/>
    <x v="0"/>
    <n v="61.481276597421136"/>
    <n v="14.255604822827236"/>
    <s v="East Caloosahatchee"/>
    <n v="5422.8"/>
    <s v="TBD"/>
    <s v="TBD"/>
    <s v="Port LaBelle CDD"/>
    <s v="TBD"/>
    <s v="N/A"/>
    <s v="N/A"/>
    <s v="TBD"/>
    <s v="TBD"/>
    <s v="N/A"/>
    <s v="N"/>
    <s v="Non-structural"/>
    <m/>
    <x v="6"/>
    <s v="N/A"/>
    <s v="N/A"/>
  </r>
  <r>
    <s v="CALO"/>
    <m/>
    <s v="LA-MSID (formerly ECWCD)"/>
    <s v="Lee County"/>
    <s v="LA-15"/>
    <s v="GS-10"/>
    <s v="Construct STA."/>
    <s v="Stormwater Treatment Areas (STAs)"/>
    <x v="0"/>
    <s v="2021"/>
    <x v="19"/>
    <s v="TBD"/>
    <s v="TBD"/>
    <s v="West Caloosahatchee"/>
    <n v="17076"/>
    <n v="12000000"/>
    <s v="Not provided"/>
    <s v="TBD"/>
    <s v="Not provided"/>
    <s v="TBD"/>
    <s v="Not provided"/>
    <n v="26.54102"/>
    <n v="-81.60454"/>
    <s v="N/A"/>
    <s v="TBD"/>
    <s v="Structural"/>
    <m/>
    <x v="6"/>
    <s v="N/A"/>
    <s v="N/A"/>
  </r>
  <r>
    <s v="CALO"/>
    <m/>
    <s v="LA-MSID (formerly ECWCD)"/>
    <s v="Not provided"/>
    <s v="LA-16"/>
    <s v="S-BH-2"/>
    <s v="Replacement of weir structures at increase control elevations to provide additional attenuation."/>
    <s v="Control Structure"/>
    <x v="3"/>
    <s v="2021"/>
    <x v="16"/>
    <s v="TBD"/>
    <s v="TBD"/>
    <s v="West Caloosahatchee"/>
    <n v="1031"/>
    <n v="75000"/>
    <s v="Not provided"/>
    <s v="LA-MSID"/>
    <s v="$75,000"/>
    <s v="N/A"/>
    <s v="Not provided"/>
    <n v="26.54102"/>
    <n v="-81.60454"/>
    <s v="N/A"/>
    <s v="TBD"/>
    <s v="Structural"/>
    <m/>
    <x v="6"/>
    <s v="N/A"/>
    <s v="N/A"/>
  </r>
  <r>
    <s v="CALO"/>
    <m/>
    <s v="LA-MSID (formerly ECWCD)"/>
    <s v="Not provided"/>
    <s v="LA-17"/>
    <s v="S-CP-1"/>
    <s v="Replacement of weir structures at increase control elevations to provide additional attenuation."/>
    <s v="Control Structure"/>
    <x v="3"/>
    <s v="2021"/>
    <x v="16"/>
    <s v="TBD"/>
    <s v="TBD"/>
    <s v="West Caloosahatchee"/>
    <n v="1135"/>
    <n v="400000"/>
    <s v="Not provided"/>
    <s v="LA-MSID"/>
    <s v="$400,000"/>
    <s v="N/A"/>
    <s v="N/A"/>
    <n v="26.621559999999999"/>
    <n v="-81.727209999999999"/>
    <s v="N/A"/>
    <s v="TBD"/>
    <s v="Structural"/>
    <m/>
    <x v="6"/>
    <s v="N/A"/>
    <s v="N/A"/>
  </r>
  <r>
    <s v="CALO"/>
    <m/>
    <s v="LA-MSID (formerly ECWCD)"/>
    <s v="Not provided"/>
    <s v="LA-18"/>
    <s v="S-R-1"/>
    <s v="Replacement of weir structures at increase control elevations to provide additional attenuation."/>
    <s v="Control Structure"/>
    <x v="1"/>
    <s v="2020"/>
    <x v="1"/>
    <s v="TBD"/>
    <s v="TBD"/>
    <s v="Tidal Caloosahatchee"/>
    <n v="1193"/>
    <n v="136681"/>
    <m/>
    <s v="LA-MSID"/>
    <s v="$136,681"/>
    <s v="N/A"/>
    <s v="N/A"/>
    <n v="26.63524"/>
    <n v="-81.691950000000006"/>
    <s v="N/A"/>
    <s v="TBD"/>
    <s v="Structural"/>
    <m/>
    <x v="6"/>
    <s v="N/A"/>
    <s v="N/A"/>
  </r>
  <r>
    <m/>
    <m/>
    <m/>
    <m/>
    <m/>
    <m/>
    <m/>
    <m/>
    <x v="4"/>
    <m/>
    <x v="20"/>
    <m/>
    <m/>
    <m/>
    <m/>
    <m/>
    <m/>
    <m/>
    <m/>
    <m/>
    <m/>
    <m/>
    <m/>
    <m/>
    <m/>
    <m/>
    <m/>
    <x v="8"/>
    <m/>
    <m/>
  </r>
  <r>
    <m/>
    <m/>
    <m/>
    <m/>
    <m/>
    <m/>
    <m/>
    <m/>
    <x v="4"/>
    <m/>
    <x v="20"/>
    <m/>
    <m/>
    <m/>
    <m/>
    <m/>
    <m/>
    <m/>
    <m/>
    <m/>
    <m/>
    <m/>
    <m/>
    <m/>
    <m/>
    <m/>
    <m/>
    <x v="8"/>
    <m/>
    <m/>
  </r>
  <r>
    <m/>
    <m/>
    <m/>
    <m/>
    <m/>
    <m/>
    <m/>
    <m/>
    <x v="4"/>
    <m/>
    <x v="20"/>
    <m/>
    <m/>
    <m/>
    <m/>
    <m/>
    <m/>
    <m/>
    <m/>
    <m/>
    <m/>
    <m/>
    <m/>
    <m/>
    <m/>
    <m/>
    <m/>
    <x v="8"/>
    <m/>
    <m/>
  </r>
  <r>
    <m/>
    <m/>
    <m/>
    <m/>
    <m/>
    <m/>
    <m/>
    <m/>
    <x v="4"/>
    <m/>
    <x v="20"/>
    <m/>
    <m/>
    <m/>
    <m/>
    <m/>
    <m/>
    <m/>
    <m/>
    <m/>
    <m/>
    <m/>
    <m/>
    <m/>
    <m/>
    <m/>
    <m/>
    <x v="8"/>
    <m/>
    <m/>
  </r>
  <r>
    <m/>
    <m/>
    <m/>
    <m/>
    <m/>
    <m/>
    <m/>
    <m/>
    <x v="4"/>
    <m/>
    <x v="20"/>
    <m/>
    <m/>
    <m/>
    <m/>
    <m/>
    <m/>
    <m/>
    <m/>
    <m/>
    <m/>
    <m/>
    <m/>
    <m/>
    <m/>
    <m/>
    <m/>
    <x v="8"/>
    <m/>
    <m/>
  </r>
  <r>
    <m/>
    <m/>
    <m/>
    <m/>
    <m/>
    <m/>
    <m/>
    <m/>
    <x v="4"/>
    <m/>
    <x v="20"/>
    <m/>
    <m/>
    <m/>
    <m/>
    <m/>
    <m/>
    <m/>
    <m/>
    <m/>
    <m/>
    <m/>
    <m/>
    <m/>
    <m/>
    <m/>
    <m/>
    <x v="8"/>
    <m/>
    <m/>
  </r>
  <r>
    <m/>
    <m/>
    <m/>
    <m/>
    <m/>
    <m/>
    <m/>
    <m/>
    <x v="4"/>
    <m/>
    <x v="20"/>
    <m/>
    <m/>
    <m/>
    <m/>
    <m/>
    <m/>
    <m/>
    <m/>
    <m/>
    <m/>
    <m/>
    <m/>
    <m/>
    <m/>
    <m/>
    <m/>
    <x v="8"/>
    <m/>
    <m/>
  </r>
  <r>
    <m/>
    <m/>
    <m/>
    <m/>
    <m/>
    <m/>
    <m/>
    <m/>
    <x v="4"/>
    <m/>
    <x v="20"/>
    <m/>
    <m/>
    <m/>
    <m/>
    <m/>
    <m/>
    <m/>
    <m/>
    <m/>
    <m/>
    <m/>
    <m/>
    <m/>
    <m/>
    <m/>
    <m/>
    <x v="8"/>
    <m/>
    <m/>
  </r>
  <r>
    <m/>
    <m/>
    <m/>
    <m/>
    <m/>
    <m/>
    <m/>
    <m/>
    <x v="4"/>
    <m/>
    <x v="20"/>
    <m/>
    <m/>
    <m/>
    <m/>
    <m/>
    <m/>
    <m/>
    <m/>
    <m/>
    <m/>
    <m/>
    <m/>
    <m/>
    <m/>
    <m/>
    <m/>
    <x v="8"/>
    <m/>
    <m/>
  </r>
  <r>
    <m/>
    <m/>
    <m/>
    <m/>
    <m/>
    <m/>
    <m/>
    <m/>
    <x v="4"/>
    <m/>
    <x v="20"/>
    <m/>
    <m/>
    <m/>
    <m/>
    <m/>
    <m/>
    <m/>
    <m/>
    <m/>
    <m/>
    <m/>
    <m/>
    <m/>
    <m/>
    <m/>
    <m/>
    <x v="8"/>
    <m/>
    <m/>
  </r>
  <r>
    <m/>
    <m/>
    <m/>
    <m/>
    <m/>
    <m/>
    <m/>
    <m/>
    <x v="4"/>
    <m/>
    <x v="20"/>
    <m/>
    <m/>
    <m/>
    <m/>
    <m/>
    <m/>
    <m/>
    <m/>
    <m/>
    <m/>
    <m/>
    <m/>
    <m/>
    <m/>
    <m/>
    <m/>
    <x v="8"/>
    <m/>
    <m/>
  </r>
  <r>
    <m/>
    <m/>
    <m/>
    <m/>
    <m/>
    <m/>
    <m/>
    <m/>
    <x v="4"/>
    <m/>
    <x v="20"/>
    <m/>
    <m/>
    <m/>
    <m/>
    <m/>
    <m/>
    <m/>
    <m/>
    <m/>
    <m/>
    <m/>
    <m/>
    <m/>
    <m/>
    <m/>
    <m/>
    <x v="8"/>
    <m/>
    <m/>
  </r>
  <r>
    <m/>
    <m/>
    <m/>
    <m/>
    <m/>
    <m/>
    <m/>
    <m/>
    <x v="4"/>
    <m/>
    <x v="20"/>
    <m/>
    <m/>
    <m/>
    <m/>
    <m/>
    <m/>
    <m/>
    <m/>
    <m/>
    <m/>
    <m/>
    <m/>
    <m/>
    <m/>
    <m/>
    <m/>
    <x v="8"/>
    <m/>
    <m/>
  </r>
  <r>
    <m/>
    <m/>
    <m/>
    <m/>
    <m/>
    <m/>
    <m/>
    <m/>
    <x v="4"/>
    <m/>
    <x v="20"/>
    <m/>
    <m/>
    <m/>
    <m/>
    <m/>
    <m/>
    <m/>
    <m/>
    <m/>
    <m/>
    <m/>
    <m/>
    <m/>
    <m/>
    <m/>
    <m/>
    <x v="8"/>
    <m/>
    <m/>
  </r>
  <r>
    <m/>
    <m/>
    <m/>
    <m/>
    <m/>
    <m/>
    <m/>
    <m/>
    <x v="4"/>
    <m/>
    <x v="20"/>
    <m/>
    <m/>
    <m/>
    <m/>
    <m/>
    <m/>
    <m/>
    <m/>
    <m/>
    <m/>
    <m/>
    <m/>
    <m/>
    <m/>
    <m/>
    <m/>
    <x v="8"/>
    <m/>
    <m/>
  </r>
  <r>
    <m/>
    <m/>
    <m/>
    <m/>
    <m/>
    <m/>
    <m/>
    <m/>
    <x v="4"/>
    <m/>
    <x v="20"/>
    <m/>
    <m/>
    <m/>
    <m/>
    <m/>
    <m/>
    <m/>
    <m/>
    <m/>
    <m/>
    <m/>
    <m/>
    <m/>
    <m/>
    <m/>
    <m/>
    <x v="8"/>
    <m/>
    <m/>
  </r>
  <r>
    <m/>
    <m/>
    <m/>
    <m/>
    <m/>
    <m/>
    <m/>
    <m/>
    <x v="4"/>
    <m/>
    <x v="20"/>
    <m/>
    <m/>
    <m/>
    <m/>
    <m/>
    <m/>
    <m/>
    <m/>
    <m/>
    <m/>
    <m/>
    <m/>
    <m/>
    <m/>
    <m/>
    <m/>
    <x v="8"/>
    <m/>
    <m/>
  </r>
  <r>
    <m/>
    <m/>
    <m/>
    <m/>
    <m/>
    <m/>
    <m/>
    <m/>
    <x v="4"/>
    <m/>
    <x v="20"/>
    <m/>
    <m/>
    <m/>
    <m/>
    <m/>
    <m/>
    <m/>
    <m/>
    <m/>
    <m/>
    <m/>
    <m/>
    <m/>
    <m/>
    <m/>
    <m/>
    <x v="8"/>
    <m/>
    <m/>
  </r>
  <r>
    <m/>
    <m/>
    <m/>
    <m/>
    <m/>
    <m/>
    <m/>
    <m/>
    <x v="4"/>
    <m/>
    <x v="20"/>
    <m/>
    <m/>
    <m/>
    <m/>
    <m/>
    <m/>
    <m/>
    <m/>
    <m/>
    <m/>
    <m/>
    <m/>
    <m/>
    <m/>
    <m/>
    <m/>
    <x v="8"/>
    <m/>
    <m/>
  </r>
  <r>
    <m/>
    <m/>
    <m/>
    <m/>
    <m/>
    <m/>
    <m/>
    <m/>
    <x v="4"/>
    <m/>
    <x v="20"/>
    <m/>
    <m/>
    <m/>
    <m/>
    <m/>
    <m/>
    <m/>
    <m/>
    <m/>
    <m/>
    <m/>
    <m/>
    <m/>
    <m/>
    <m/>
    <m/>
    <x v="8"/>
    <m/>
    <m/>
  </r>
  <r>
    <m/>
    <m/>
    <m/>
    <m/>
    <m/>
    <m/>
    <m/>
    <m/>
    <x v="4"/>
    <m/>
    <x v="20"/>
    <m/>
    <m/>
    <m/>
    <m/>
    <m/>
    <m/>
    <m/>
    <m/>
    <m/>
    <m/>
    <m/>
    <m/>
    <m/>
    <m/>
    <m/>
    <m/>
    <x v="8"/>
    <m/>
    <m/>
  </r>
  <r>
    <m/>
    <m/>
    <m/>
    <m/>
    <m/>
    <m/>
    <m/>
    <m/>
    <x v="4"/>
    <m/>
    <x v="20"/>
    <m/>
    <m/>
    <m/>
    <m/>
    <m/>
    <m/>
    <m/>
    <m/>
    <m/>
    <m/>
    <m/>
    <m/>
    <m/>
    <m/>
    <m/>
    <m/>
    <x v="8"/>
    <m/>
    <m/>
  </r>
  <r>
    <m/>
    <m/>
    <m/>
    <m/>
    <m/>
    <m/>
    <m/>
    <m/>
    <x v="4"/>
    <m/>
    <x v="20"/>
    <m/>
    <m/>
    <m/>
    <m/>
    <m/>
    <m/>
    <m/>
    <m/>
    <m/>
    <m/>
    <m/>
    <m/>
    <m/>
    <m/>
    <m/>
    <m/>
    <x v="8"/>
    <m/>
    <m/>
  </r>
  <r>
    <m/>
    <m/>
    <m/>
    <m/>
    <m/>
    <m/>
    <m/>
    <m/>
    <x v="4"/>
    <m/>
    <x v="20"/>
    <m/>
    <m/>
    <m/>
    <m/>
    <m/>
    <m/>
    <m/>
    <m/>
    <m/>
    <m/>
    <m/>
    <m/>
    <m/>
    <m/>
    <m/>
    <m/>
    <x v="8"/>
    <m/>
    <m/>
  </r>
  <r>
    <m/>
    <m/>
    <m/>
    <m/>
    <m/>
    <m/>
    <m/>
    <m/>
    <x v="4"/>
    <m/>
    <x v="20"/>
    <m/>
    <m/>
    <m/>
    <m/>
    <m/>
    <m/>
    <m/>
    <m/>
    <m/>
    <m/>
    <m/>
    <m/>
    <m/>
    <m/>
    <m/>
    <m/>
    <x v="8"/>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6">
  <r>
    <s v="CALO"/>
    <n v="5160"/>
    <x v="0"/>
    <s v="DEP/ FDACS"/>
    <s v="BD-01"/>
    <s v="Public Education and Outreach"/>
    <s v="Updates on BMAP and requirements during annual landowner meetings."/>
    <s v="Education Efforts"/>
    <x v="0"/>
    <s v="2019"/>
    <s v="N/A"/>
    <s v="N/A"/>
    <s v="N/A"/>
    <s v="East Caloosahatchee"/>
    <s v="N/A"/>
    <s v="Not provided"/>
    <s v="TBD"/>
    <s v="Barron WCD"/>
    <s v="N/A"/>
    <s v="N/A"/>
    <s v="N/A"/>
    <s v="26.75713889"/>
    <s v="-81.38611111"/>
    <s v="N/A"/>
    <m/>
    <s v="Non-structural"/>
    <m/>
    <n v="2019"/>
    <s v="N/A"/>
    <s v="N/A"/>
    <m/>
  </r>
  <r>
    <s v="CALO"/>
    <n v="5161"/>
    <x v="0"/>
    <s v="FDACS"/>
    <s v="BD-02"/>
    <s v="FDACS BMP Assistance"/>
    <s v="Provide assistance to FDACS, as needed, to encourage landowners to enroll in BMPs."/>
    <s v="Agricultural BMPs"/>
    <x v="0"/>
    <s v="2019"/>
    <s v="N/A"/>
    <s v="N/A"/>
    <s v="N/A"/>
    <s v="East Caloosahatchee"/>
    <s v="N/A"/>
    <s v="Not provided"/>
    <s v="TBD"/>
    <s v="Barron WCD"/>
    <s v="N/A"/>
    <s v="N/A"/>
    <s v="N/A"/>
    <s v="26.7515"/>
    <s v="-81.275"/>
    <s v="N/A"/>
    <m/>
    <s v="Non-structural"/>
    <m/>
    <n v="2019"/>
    <s v="N/A"/>
    <s v="N/A"/>
    <m/>
  </r>
  <r>
    <s v="CALO"/>
    <n v="5162"/>
    <x v="0"/>
    <s v="N/A"/>
    <s v="BD-03"/>
    <s v="Nutrient Controls"/>
    <s v="No application of fertilizer in district's rights-of-way."/>
    <s v="Fertilizer Cessation"/>
    <x v="1"/>
    <s v="2020"/>
    <s v="2020"/>
    <s v="N/A"/>
    <s v="N/A"/>
    <s v="East Caloosahatchee"/>
    <s v="N/A"/>
    <s v="TBD"/>
    <s v="TBD"/>
    <s v="Barron WCD"/>
    <s v="N/A"/>
    <s v="N/A"/>
    <s v="N/A"/>
    <s v="26.7515"/>
    <s v="-81.275"/>
    <s v="N/A"/>
    <m/>
    <s v="Non-structural"/>
    <m/>
    <n v="2019"/>
    <s v="N/A"/>
    <s v="N/A"/>
    <m/>
  </r>
  <r>
    <s v="CALO"/>
    <n v="5163"/>
    <x v="0"/>
    <s v="N/A"/>
    <s v="BD-04"/>
    <s v="Canal/Ditch Bank Berms"/>
    <s v="Minimize sediment transport by constructing berms on top of canal/ditch banks and promoting vegetation cover."/>
    <s v="Shoreline Stabilization"/>
    <x v="0"/>
    <s v="2020"/>
    <s v="N/A"/>
    <s v="N/A"/>
    <s v="N/A"/>
    <s v="East Caloosahatchee"/>
    <s v="N/A"/>
    <s v="TBD"/>
    <s v="TBD"/>
    <s v="Barron WCD"/>
    <s v="N/A"/>
    <s v="N/A"/>
    <s v="N/A"/>
    <s v="26.7515"/>
    <s v="-81.275"/>
    <s v="N/A"/>
    <m/>
    <s v="Structural"/>
    <m/>
    <n v="2019"/>
    <s v="N/A"/>
    <s v="N/A"/>
    <m/>
  </r>
  <r>
    <s v="CALO"/>
    <n v="5164"/>
    <x v="0"/>
    <s v="N/A"/>
    <s v="BD-05"/>
    <s v="Control Structures"/>
    <s v="Annual maintenance of water control structures."/>
    <s v="Control Structure"/>
    <x v="2"/>
    <s v="2021"/>
    <s v="N/A"/>
    <s v="N/A"/>
    <s v="N/A"/>
    <s v="East Caloosahatchee"/>
    <s v="N/A"/>
    <s v="TBD"/>
    <s v="TBD"/>
    <s v="Barron WCD"/>
    <s v="N/A"/>
    <s v="N/A"/>
    <s v="N/A"/>
    <s v="26.7515"/>
    <s v="-81.275"/>
    <s v="N/A"/>
    <m/>
    <s v="Structural"/>
    <m/>
    <n v="2019"/>
    <s v="N/A"/>
    <s v="N/A"/>
    <m/>
  </r>
  <r>
    <s v="CALO"/>
    <n v="5165"/>
    <x v="1"/>
    <s v="N/A"/>
    <s v="CA-01"/>
    <s v="C-43 West Basin Storage Reservoir"/>
    <s v="Storage of 170,000 acre-feet of stormwater runoff and releases from Lake Okeechobee. It will reduce volume of lake discharges in wet season and provide freshwater flow to the estuary in dry season to aid in essential flows for more stable salinities."/>
    <s v="Hydrologic Restoration"/>
    <x v="3"/>
    <s v="2015"/>
    <s v="2023"/>
    <s v="N/A"/>
    <s v="N/A"/>
    <s v="West Caloosahatchee"/>
    <n v="10700"/>
    <n v="853335773"/>
    <n v="2200000"/>
    <s v="USACE/ SFWMD/ Florida Legislature"/>
    <s v="USACE - $38,846,743/ SFWMD - $6,226,922/ Florida Legislature - $396,824,679"/>
    <s v="N/A"/>
    <s v="N/A"/>
    <s v="26.78637063"/>
    <s v="-81.28874105"/>
    <s v="N/A"/>
    <s v="Y"/>
    <s v="Structural"/>
    <m/>
    <n v="2019"/>
    <s v="Not provided"/>
    <s v="Not provided"/>
    <m/>
  </r>
  <r>
    <s v="CALO"/>
    <n v="5166"/>
    <x v="1"/>
    <s v="N/A"/>
    <s v="CA-02"/>
    <s v="Lake Hicpochee Storage and Shallow Hydrologic Enhancement, Phase 1"/>
    <s v="Provide shallow water storage, rehydrate a portion of lake bed to promote habitat restoration storage, and increase capacity for ancillary water quality benefit. Project will deliver excess stormwater runoff from C-19 canal to north end of lake as needed."/>
    <s v="Hydrologic Restoration"/>
    <x v="1"/>
    <s v="2017"/>
    <s v="2019"/>
    <s v="N/A"/>
    <s v="N/A"/>
    <s v="East Caloosahatchee"/>
    <n v="670"/>
    <n v="17300590"/>
    <n v="114588"/>
    <s v="SFWMD/ Florida Legislature"/>
    <s v="SFWMD - $12,395,150/ Florida Legislature - $4,905,440"/>
    <s v="N/A"/>
    <s v="N/A"/>
    <s v="26.81848578"/>
    <s v="-81.14594202"/>
    <s v="N/A"/>
    <s v="Y"/>
    <s v="Structural"/>
    <m/>
    <n v="2019"/>
    <s v="Not provided"/>
    <s v="Not provided"/>
    <m/>
  </r>
  <r>
    <s v="CALO"/>
    <n v="5167"/>
    <x v="1"/>
    <s v="N/A"/>
    <s v="CA-03"/>
    <s v="Lake Hicpochee Storage and Shallow Hydrologic Enhancement Expansion"/>
    <s v="Building on Phase I efforts, project will expand regional storage in the Caloosahatchee River Watershed and reduce flows lost to tide on over 2,600 acres of District lands."/>
    <s v="Hydrologic Restoration"/>
    <x v="0"/>
    <s v="2022"/>
    <s v="2025"/>
    <s v="N/A"/>
    <n v="3810.8294399999995"/>
    <s v="East Caloosahatchee"/>
    <n v="2648"/>
    <n v="95231364"/>
    <s v="TBD"/>
    <s v="SFWMD/ Florida Legislature"/>
    <s v="SFWMD - $27,043/ Florida Legislature - $1,500,000"/>
    <s v="N/A"/>
    <s v="N/A"/>
    <s v="26.81714529"/>
    <s v="-81.14890318"/>
    <s v="N/A"/>
    <s v="Y"/>
    <s v="Structural"/>
    <m/>
    <n v="2019"/>
    <s v="Not provided"/>
    <s v="Not provided"/>
    <n v="4"/>
  </r>
  <r>
    <s v="CALO"/>
    <n v="5168"/>
    <x v="1"/>
    <s v="N/A"/>
    <s v="CA-04"/>
    <s v="BOMA Flow Equalization Basin (FEB)"/>
    <s v="Expand regional storage in the Caloosahatchee River Watershed and reduce flows to the estuary on approximately 1,800 acres of SFWMD lands."/>
    <s v="Hydrologic Restoration"/>
    <x v="0"/>
    <s v="2023"/>
    <s v="2025"/>
    <s v="N/A"/>
    <s v="N/A"/>
    <s v="East Caloosahatchee"/>
    <n v="1797"/>
    <s v="TBD"/>
    <s v="TBD"/>
    <s v="SFWMD/ Florida Legislature"/>
    <s v="TBD"/>
    <s v="N/A"/>
    <s v="N/A"/>
    <s v="26.779607"/>
    <s v="-81.289079"/>
    <s v="N/A"/>
    <s v="Y"/>
    <s v="Structural"/>
    <m/>
    <n v="2019"/>
    <s v="Not provided"/>
    <s v="Not provided"/>
    <m/>
  </r>
  <r>
    <s v="CALO"/>
    <n v="5169"/>
    <x v="1"/>
    <s v="N/A"/>
    <s v="CA-05"/>
    <s v="C-43 Water Quality Treatment and Testing Facility, Phase II - Test Cells"/>
    <s v="Evaluate the effectiveness of wetland treatment systems in reducing nitrogen at a test-scale."/>
    <s v="Study"/>
    <x v="0"/>
    <s v="2022"/>
    <s v="2024"/>
    <s v="N/A"/>
    <s v="N/A"/>
    <s v="East Caloosahatchee"/>
    <s v="TBD"/>
    <s v="TBD"/>
    <s v="TBD"/>
    <s v="SFWMD/ Florida Legislature"/>
    <s v="TBD"/>
    <s v="N/A"/>
    <s v="N/A"/>
    <s v="Not provided"/>
    <s v="Not provided"/>
    <s v="N/A"/>
    <s v="Y"/>
    <s v="Non-structural"/>
    <m/>
    <n v="2019"/>
    <s v="Not provided"/>
    <s v="Not provided"/>
    <m/>
  </r>
  <r>
    <s v="CALO"/>
    <n v="5170"/>
    <x v="1"/>
    <s v="N/A"/>
    <s v="CA-06"/>
    <s v="C-43 West Basin Storage Reservoir Water Quality Component"/>
    <s v="Construct and operate a water quality treatment component at the C-43 West Basin Storage Reservoir to reduce discharge of nutrients which may contribute to blue-green algal blooms."/>
    <s v="Constructed Wetland Treatment"/>
    <x v="3"/>
    <s v="2019"/>
    <s v="2025"/>
    <s v="TBD"/>
    <s v="TBD"/>
    <s v="West Caloosahatchee"/>
    <s v="N/A"/>
    <n v="659385"/>
    <s v="N/A"/>
    <s v="Florida Legislature"/>
    <s v="$659,385"/>
    <s v="N/A"/>
    <s v="N/A"/>
    <s v="Not provided"/>
    <s v="Not provided"/>
    <s v="N/A"/>
    <s v="Y"/>
    <s v="Non-structural"/>
    <m/>
    <n v="2019"/>
    <s v="Not provided"/>
    <s v="Not provided"/>
    <m/>
  </r>
  <r>
    <s v="CALO"/>
    <n v="5171"/>
    <x v="1"/>
    <s v="N/A"/>
    <s v="CA-07"/>
    <s v="Mudge Ranch"/>
    <s v="304-acre project area, which has an estimated water storage benefit of 396 ac-ft/yr."/>
    <s v="Dispersed Water Management (DWM)"/>
    <x v="1"/>
    <s v="2013"/>
    <s v="2014"/>
    <s v="N/A"/>
    <s v="N/A"/>
    <s v="West Caloosahatchee"/>
    <n v="304"/>
    <n v="17200"/>
    <n v="47500"/>
    <s v="Florida Legislature"/>
    <s v="$302,200"/>
    <s v="N/A"/>
    <s v="N/A"/>
    <s v="26.82102263"/>
    <s v="-81.47034187"/>
    <s v="N/A"/>
    <s v="Y"/>
    <s v="Structural"/>
    <m/>
    <n v="2019"/>
    <s v="Not provided"/>
    <s v="Not provided"/>
    <m/>
  </r>
  <r>
    <s v="CALO"/>
    <n v="2318"/>
    <x v="2"/>
    <s v="UF-IFAS"/>
    <s v="CC-01"/>
    <s v="Education Efforts"/>
    <s v="FYN; landscape, irrigation, pet waste, and fertilizer ordinances; pamphlets, PSAs, website, and Illicit Discharge Program."/>
    <s v="Education Efforts"/>
    <x v="2"/>
    <s v="Not provided"/>
    <s v="N/A"/>
    <n v="9299.2142886460551"/>
    <n v="3448.2961113327337"/>
    <s v="Tidal Caloosahatchee"/>
    <s v="N/A"/>
    <s v="Not provided"/>
    <n v="2000"/>
    <s v="City"/>
    <s v="Not provided"/>
    <s v="N/A"/>
    <s v="N/A"/>
    <s v="Not provided"/>
    <s v="Not provided"/>
    <s v="N/A"/>
    <m/>
    <s v="Non-structural"/>
    <s v="Ongoing"/>
    <n v="2012"/>
    <n v="6998.4709679999996"/>
    <s v="N/A"/>
    <m/>
  </r>
  <r>
    <s v="CALO"/>
    <n v="2329"/>
    <x v="2"/>
    <s v="N/A"/>
    <s v="CC-02"/>
    <s v="SE - 1 Swale/ Inlet Replacement"/>
    <s v="Installed raised inlets to provide additional water quality in roadside swales."/>
    <s v="Grass Swales with Swale Blocks or Raised Culverts"/>
    <x v="1"/>
    <s v="Not provided"/>
    <s v="Prior to 2012"/>
    <n v="0"/>
    <s v="N/A"/>
    <s v="Tidal Caloosahatchee"/>
    <s v="Not provided"/>
    <s v="Not provided"/>
    <s v="Not provided"/>
    <s v="City"/>
    <s v="Not provided"/>
    <s v="N/A"/>
    <s v="N/A"/>
    <s v="Not provided"/>
    <s v="Not provided"/>
    <s v="N/A"/>
    <m/>
    <s v="Structural"/>
    <s v="Completed"/>
    <n v="2012"/>
    <n v="0"/>
    <s v="N/A"/>
    <m/>
  </r>
  <r>
    <s v="CALO"/>
    <n v="2327"/>
    <x v="2"/>
    <s v="N/A"/>
    <s v="CC-03"/>
    <s v="SW - 1 Swale/ Inlet Replacement"/>
    <s v="Installed raised inlets to provide additional water quality in roadside swales."/>
    <s v="Grass Swales with Swale Blocks or Raised Culverts"/>
    <x v="1"/>
    <s v="Not provided"/>
    <s v="Prior to 2012"/>
    <n v="0"/>
    <s v="N/A"/>
    <s v="Tidal Caloosahatchee"/>
    <s v="Not provided"/>
    <s v="Not provided"/>
    <s v="Not provided"/>
    <s v="City"/>
    <s v="Not provided"/>
    <s v="N/A"/>
    <s v="N/A"/>
    <s v="Not provided"/>
    <s v="Not provided"/>
    <s v="N/A"/>
    <m/>
    <s v="Structural"/>
    <s v="Completed"/>
    <n v="2012"/>
    <n v="0"/>
    <s v="N/A"/>
    <m/>
  </r>
  <r>
    <s v="CALO"/>
    <n v="2339"/>
    <x v="2"/>
    <s v="N/A"/>
    <s v="CC-04"/>
    <s v="SW - 2 Swale/ Inlet Replacement"/>
    <s v="Installed raised inlets to provide additional water quality in roadside swales."/>
    <s v="Grass Swales with Swale Blocks or Raised Culverts"/>
    <x v="1"/>
    <s v="Not provided"/>
    <s v="Prior to 2012"/>
    <n v="0"/>
    <s v="N/A"/>
    <s v="Tidal Caloosahatchee"/>
    <s v="Not provided"/>
    <s v="Not provided"/>
    <s v="Not provided"/>
    <s v="City"/>
    <s v="Not provided"/>
    <s v="N/A"/>
    <s v="N/A"/>
    <s v="Not provided"/>
    <s v="Not provided"/>
    <s v="N/A"/>
    <m/>
    <s v="Structural"/>
    <s v="Completed"/>
    <n v="2012"/>
    <n v="0"/>
    <s v="N/A"/>
    <m/>
  </r>
  <r>
    <s v="CALO"/>
    <n v="2304"/>
    <x v="2"/>
    <s v="N/A"/>
    <s v="CC-05"/>
    <s v="SW - 3 Swale/ Inlet Replacement"/>
    <s v="Installed raised inlets to provide additional water quality in roadside swales."/>
    <s v="Grass Swales with Swale Blocks or Raised Culverts"/>
    <x v="1"/>
    <s v="Not provided"/>
    <s v="Prior to 2012"/>
    <n v="0"/>
    <s v="N/A"/>
    <s v="Tidal Caloosahatchee"/>
    <s v="Not provided"/>
    <s v="Not provided"/>
    <s v="Not provided"/>
    <s v="City"/>
    <s v="Not provided"/>
    <s v="N/A"/>
    <s v="N/A"/>
    <s v="Not provided"/>
    <s v="Not provided"/>
    <s v="N/A"/>
    <m/>
    <s v="Structural"/>
    <s v="Completed"/>
    <n v="2012"/>
    <n v="0"/>
    <s v="N/A"/>
    <m/>
  </r>
  <r>
    <s v="CALO"/>
    <n v="2328"/>
    <x v="2"/>
    <s v="DEP"/>
    <s v="CC-06"/>
    <s v="SW - 4 Swale/ Inlet Replacement"/>
    <s v="Installed raised inlets to provide additional water quality in roadside swales."/>
    <s v="Grass Swales with Swale Blocks or Raised Culverts"/>
    <x v="1"/>
    <s v="Not provided"/>
    <s v="Prior to 2012"/>
    <n v="0"/>
    <s v="N/A"/>
    <s v="Tidal Caloosahatchee"/>
    <s v="Not provided"/>
    <s v="Not provided"/>
    <s v="Not provided"/>
    <s v="City"/>
    <s v="City - $171,911"/>
    <s v="TBD"/>
    <s v="N/A"/>
    <s v="Not provided"/>
    <s v="Not provided"/>
    <s v="N/A"/>
    <m/>
    <s v="Structural"/>
    <s v="Completed"/>
    <n v="2012"/>
    <n v="0"/>
    <s v="N/A"/>
    <m/>
  </r>
  <r>
    <s v="CALO"/>
    <n v="2296"/>
    <x v="2"/>
    <s v="DEP"/>
    <s v="CC-07"/>
    <s v="SW - 5 Swale/ Inlet Replacement"/>
    <s v="Installed raised inlets to provide additional water quality in roadside swales."/>
    <s v="Grass Swales with Swale Blocks or Raised Culverts"/>
    <x v="1"/>
    <s v="Not provided"/>
    <s v="Prior to 2012"/>
    <n v="0"/>
    <s v="N/A"/>
    <s v="Tidal Caloosahatchee"/>
    <s v="Not provided"/>
    <s v="Not provided"/>
    <s v="Not provided"/>
    <s v="City"/>
    <s v="City - $172,629"/>
    <s v="TBD"/>
    <s v="N/A"/>
    <s v="Not provided"/>
    <s v="Not provided"/>
    <s v="N/A"/>
    <m/>
    <s v="Structural"/>
    <s v="Completed"/>
    <n v="2012"/>
    <n v="0"/>
    <s v="N/A"/>
    <m/>
  </r>
  <r>
    <s v="CALO"/>
    <n v="2297"/>
    <x v="2"/>
    <s v="N/A"/>
    <s v="CC-08"/>
    <s v="SE Pipe Replacement"/>
    <s v="SE pipe replacement."/>
    <s v="Stormwater System Rehabilitation"/>
    <x v="1"/>
    <s v="Not provided"/>
    <s v="Prior to 2012"/>
    <s v="N/A"/>
    <s v="N/A"/>
    <s v="Tidal Caloosahatchee"/>
    <s v="Not provided"/>
    <s v="Not provided"/>
    <s v="Not provided"/>
    <s v="City"/>
    <s v="Not provided"/>
    <s v="N/A"/>
    <s v="N/A"/>
    <s v="Not provided"/>
    <s v="Not provided"/>
    <s v="N/A"/>
    <m/>
    <s v="Structural"/>
    <s v="Completed"/>
    <n v="2012"/>
    <n v="0"/>
    <s v="N/A"/>
    <m/>
  </r>
  <r>
    <s v="CALO"/>
    <n v="2298"/>
    <x v="2"/>
    <s v="N/A"/>
    <s v="CC-09"/>
    <s v="Unit 23 – SE 8th Street Drainage"/>
    <s v="Unit 23–SE 8th Street drainage."/>
    <s v="Stormwater System Rehabilitation"/>
    <x v="1"/>
    <s v="Not provided"/>
    <s v="Prior to 2012"/>
    <s v="N/A"/>
    <s v="N/A"/>
    <s v="Tidal Caloosahatchee"/>
    <s v="Not provided"/>
    <s v="Not provided"/>
    <s v="Not provided"/>
    <s v="City"/>
    <s v="Not provided"/>
    <s v="N/A"/>
    <s v="N/A"/>
    <s v="Not provided"/>
    <s v="Not provided"/>
    <s v="N/A"/>
    <m/>
    <s v="Structural"/>
    <s v="Completed"/>
    <n v="2012"/>
    <n v="0"/>
    <s v="N/A"/>
    <m/>
  </r>
  <r>
    <s v="CALO"/>
    <n v="2361"/>
    <x v="2"/>
    <s v="N/A"/>
    <s v="CC-10"/>
    <s v="Freshwater Canal Detention"/>
    <s v="Regulation of freshwater canals through existing control structures."/>
    <s v="Control Structure"/>
    <x v="1"/>
    <s v="Not provided"/>
    <s v="Prior to 2012"/>
    <n v="4415.9061545880486"/>
    <n v="3411.7144657723475"/>
    <s v="Tidal Caloosahatchee"/>
    <n v="10702"/>
    <s v="Not provided"/>
    <s v="Not provided"/>
    <s v="City"/>
    <s v="Not provided"/>
    <s v="N/A"/>
    <s v="N/A"/>
    <s v="Not provided"/>
    <s v="Not provided"/>
    <s v="N/A"/>
    <m/>
    <s v="Structural"/>
    <s v="Completed"/>
    <n v="2012"/>
    <n v="18130.525831999999"/>
    <s v="N/A"/>
    <m/>
  </r>
  <r>
    <s v="CALO"/>
    <n v="2299"/>
    <x v="2"/>
    <s v="N/A"/>
    <s v="CC-11"/>
    <s v="Freshwater Canal Irrigation"/>
    <s v="Pump stormwater stored in canals into irrigation supply network."/>
    <s v="Stormwater Reuse"/>
    <x v="1"/>
    <s v="Not provided"/>
    <s v="Prior to 2012"/>
    <n v="796"/>
    <n v="140.80000000000001"/>
    <s v="Tidal Caloosahatchee"/>
    <s v="Not provided"/>
    <s v="Not provided"/>
    <s v="Not provided"/>
    <s v="City"/>
    <s v="Not provided"/>
    <s v="N/A"/>
    <s v="N/A"/>
    <s v="Not provided"/>
    <s v="Not provided"/>
    <s v="N/A"/>
    <m/>
    <s v="Structural"/>
    <s v="Completed"/>
    <n v="2012"/>
    <n v="12550.89064"/>
    <s v="N/A"/>
    <m/>
  </r>
  <r>
    <s v="CALO"/>
    <n v="2330"/>
    <x v="2"/>
    <s v="N/A"/>
    <s v="CC-12"/>
    <s v="Weir #6 Elevation/ Basin 12"/>
    <s v="Installed riser on weir in freshwater canal system to provide additional retention volume in canals."/>
    <s v="Control Structure"/>
    <x v="1"/>
    <s v="Not provided"/>
    <s v="Prior to 2012"/>
    <s v="N/A"/>
    <s v="N/A"/>
    <s v="Tidal Caloosahatchee"/>
    <n v="932"/>
    <s v="Not provided"/>
    <s v="Not provided"/>
    <s v="City"/>
    <s v="Not provided"/>
    <s v="N/A"/>
    <s v="N/A"/>
    <s v="Not provided"/>
    <s v="Not provided"/>
    <s v="N/A"/>
    <m/>
    <s v="Structural"/>
    <s v="Completed"/>
    <n v="2012"/>
    <n v="0"/>
    <s v="N/A"/>
    <m/>
  </r>
  <r>
    <s v="CALO"/>
    <n v="2300"/>
    <x v="2"/>
    <s v="N/A"/>
    <s v="CC-13"/>
    <s v="Weir #1 Elevation/ Basin 15"/>
    <s v="Installed riser on weir in freshwater canal system to provide additional retention volume in canals."/>
    <s v="Control Structure"/>
    <x v="1"/>
    <s v="Not provided"/>
    <s v="Prior to 2012"/>
    <s v="N/A"/>
    <s v="N/A"/>
    <s v="Tidal Caloosahatchee"/>
    <n v="1314"/>
    <s v="Not provided"/>
    <s v="Not provided"/>
    <s v="City"/>
    <s v="Not provided"/>
    <s v="N/A"/>
    <s v="N/A"/>
    <s v="Not provided"/>
    <s v="Not provided"/>
    <s v="N/A"/>
    <m/>
    <s v="Structural"/>
    <s v="Completed"/>
    <n v="2012"/>
    <n v="0"/>
    <s v="N/A"/>
    <m/>
  </r>
  <r>
    <s v="CALO"/>
    <n v="2301"/>
    <x v="2"/>
    <s v="N/A"/>
    <s v="CC-14"/>
    <s v="Street Sweeping"/>
    <s v="Street sweeping of downtown area, alleys, and commercial roads."/>
    <s v="Street Sweeping"/>
    <x v="2"/>
    <s v="2015"/>
    <s v="N/A"/>
    <n v="245.7507490952089"/>
    <n v="140.54965445521"/>
    <s v="Tidal Caloosahatchee"/>
    <s v="N/A"/>
    <s v="Not provided"/>
    <n v="360000"/>
    <s v="City"/>
    <s v="Not provided"/>
    <s v="N/A"/>
    <s v="N/A"/>
    <s v="Not provided"/>
    <s v="Not provided"/>
    <s v="N/A"/>
    <m/>
    <s v="Non-structural"/>
    <s v="Ongoing"/>
    <n v="2014"/>
    <n v="491.69372800000002"/>
    <s v="N/A"/>
    <m/>
  </r>
  <r>
    <s v="CALO"/>
    <n v="2302"/>
    <x v="2"/>
    <s v="N/A"/>
    <s v="CC-15"/>
    <s v="Septic to Sewer Phase Out Project"/>
    <s v="Phase out septic tanks in Southwest 6/7 area."/>
    <s v="OSTDS Phase Out"/>
    <x v="1"/>
    <s v="Not provided"/>
    <s v="2015"/>
    <n v="66149"/>
    <s v="N/A"/>
    <s v="Tidal Caloosahatchee"/>
    <n v="2560"/>
    <s v="Not provided"/>
    <s v="Not provided"/>
    <s v="City"/>
    <s v="Not provided"/>
    <s v="N/A"/>
    <s v="N/A"/>
    <s v="Not provided"/>
    <s v="Not provided"/>
    <s v="N/A"/>
    <m/>
    <s v="Structural"/>
    <s v="Completed"/>
    <n v="2015"/>
    <s v="TBD"/>
    <s v="N/A"/>
    <m/>
  </r>
  <r>
    <s v="CALO"/>
    <n v="2332"/>
    <x v="2"/>
    <s v="N/A"/>
    <s v="CC-16"/>
    <s v="Catch Basin Cleanout"/>
    <s v="Catch basin cleanouts from Caloosahatchee Watershed areas."/>
    <s v="Catch Basin Inserts/Inlet Filter Cleanout"/>
    <x v="1"/>
    <s v="2015"/>
    <s v="2015"/>
    <n v="109.32637887505491"/>
    <n v="56.023288838789995"/>
    <s v="Tidal Caloosahatchee"/>
    <s v="Not provided"/>
    <s v="Not provided"/>
    <n v="170000"/>
    <s v="City"/>
    <s v="Not provided"/>
    <s v="N/A"/>
    <s v="N/A"/>
    <s v="Not provided"/>
    <s v="Not provided"/>
    <s v="N/A"/>
    <m/>
    <s v="Non-structural"/>
    <m/>
    <n v="2016"/>
    <n v="267.61928"/>
    <s v="N/A"/>
    <m/>
  </r>
  <r>
    <s v="CALO"/>
    <n v="4365"/>
    <x v="2"/>
    <s v="N/A"/>
    <s v="CC-17"/>
    <s v="Unit 8 – SE 47th Terrace Streetscape Improvements Club Square"/>
    <s v="Suntree Technologies Skimboss and Bold and Gold Media - Club Square."/>
    <s v="Baffle Boxes- Second Generation with Media"/>
    <x v="1"/>
    <s v="Not provided"/>
    <s v="2018"/>
    <s v="TBD"/>
    <s v="TBD"/>
    <s v="Tidal Caloosahatchee"/>
    <n v="5"/>
    <s v="Not provided"/>
    <s v="Not provided"/>
    <s v="City of Cape Coral"/>
    <s v="Not provided"/>
    <s v="N/A"/>
    <s v="N/A"/>
    <s v="26.564589"/>
    <s v="-81.95807"/>
    <s v="N/A"/>
    <m/>
    <s v="Structural"/>
    <s v="Completed"/>
    <n v="2018"/>
    <s v="Not provided"/>
    <s v="Not provided"/>
    <m/>
  </r>
  <r>
    <s v="CALO"/>
    <n v="4366"/>
    <x v="2"/>
    <s v="City of Fort Myers"/>
    <s v="CC-18"/>
    <s v="Ft Myers Cape Coral Wastewater Pipeline"/>
    <s v="Elimination of wastewater treatment plant effluent discharges to the river from Ft Myers by conveying wastewater to Cape Coral for reuse in Cape Coral water reclamation system."/>
    <s v="WWTF Diversion to Reuse"/>
    <x v="0"/>
    <s v="Not provided"/>
    <s v="TBD"/>
    <s v="TBD"/>
    <s v="TBD"/>
    <s v="Tidal Caloosahatchee"/>
    <s v="N/A"/>
    <s v="Not provided"/>
    <s v="Not provided"/>
    <s v="City of Cape Coral"/>
    <s v="Not provided"/>
    <s v="N/A"/>
    <s v="N/A"/>
    <s v="26.59652977"/>
    <s v="-81.88976826"/>
    <s v="Unknown"/>
    <m/>
    <s v="Structural"/>
    <s v="Underway"/>
    <n v="2018"/>
    <s v="Not provided"/>
    <s v="Not provided"/>
    <m/>
  </r>
  <r>
    <s v="CALO"/>
    <n v="4840"/>
    <x v="2"/>
    <s v="Lee County"/>
    <s v="CC-19"/>
    <s v="Yellow Fever Creek Hydrologic Restoration"/>
    <s v="Transfer water from Gator Slough to a new reservoir in Yellow Fever Creek and slowly releasing the flow into the headwaters of Yellow Fever Creek, extending wetland hydroperiods."/>
    <s v="Hydrologic Restoration"/>
    <x v="3"/>
    <s v="Not provided"/>
    <s v="TBD"/>
    <n v="13.5"/>
    <n v="18.8"/>
    <s v="Tidal Caloosahatchee"/>
    <n v="30.55"/>
    <s v="TBD"/>
    <s v="TBD"/>
    <s v="Not provided"/>
    <s v="Not provided"/>
    <s v="N/A"/>
    <s v="Not provided"/>
    <s v="26.71308702"/>
    <s v="-81.9305424"/>
    <s v="N/A"/>
    <m/>
    <s v="Structural"/>
    <s v="Underway"/>
    <n v="2019"/>
    <s v="N/A"/>
    <s v="N/A"/>
    <m/>
  </r>
  <r>
    <s v="CALO"/>
    <n v="5172"/>
    <x v="3"/>
    <s v="City of Clewiston/ DEP/ FDACS"/>
    <s v="CD-01"/>
    <s v="Public Education and Outreach"/>
    <s v="Updates on BMAP and requirements during annual landowner meetings."/>
    <s v="Education Efforts"/>
    <x v="0"/>
    <s v="2021"/>
    <s v="N/A"/>
    <s v="N/A"/>
    <s v="N/A"/>
    <s v="East Caloosahatchee"/>
    <s v="N/A"/>
    <n v="500"/>
    <s v="N/A"/>
    <s v="Clewiston Drainage District"/>
    <s v="$500"/>
    <s v="N/A"/>
    <s v="N/A"/>
    <s v="26.750692"/>
    <s v="-80.936481"/>
    <s v="N/A"/>
    <m/>
    <s v="Non-structural"/>
    <m/>
    <n v="2019"/>
    <s v="N/A"/>
    <s v="N/A"/>
    <m/>
  </r>
  <r>
    <s v="CALO"/>
    <n v="5173"/>
    <x v="3"/>
    <s v="FDACS"/>
    <s v="CD-02"/>
    <s v="FDACS BMP Assistance"/>
    <s v="Provide assistance to FDACS, as needed, to encourage landowners to enroll in BMPs."/>
    <s v="Agricultural BMPs"/>
    <x v="0"/>
    <s v="2021"/>
    <s v="N/A"/>
    <s v="N/A"/>
    <s v="N/A"/>
    <s v="East Caloosahatchee"/>
    <s v="N/A"/>
    <n v="1000"/>
    <s v="N/A"/>
    <s v="Clewiston Drainage District"/>
    <s v="$1,000"/>
    <s v="N/A"/>
    <s v="N/A"/>
    <s v="26.750692"/>
    <s v="-80.936481"/>
    <s v="N/A"/>
    <m/>
    <s v="Non-structural"/>
    <m/>
    <n v="2019"/>
    <s v="N/A"/>
    <s v="N/A"/>
    <m/>
  </r>
  <r>
    <s v="CALO"/>
    <n v="5174"/>
    <x v="3"/>
    <s v="N/A"/>
    <s v="CD-03"/>
    <s v="Nutrient Controls"/>
    <s v="No application of fertilizer in district's rights-of-way."/>
    <s v="Fertilizer Cessation"/>
    <x v="1"/>
    <s v="2020"/>
    <s v="2020"/>
    <s v="N/A"/>
    <s v="N/A"/>
    <s v="East Caloosahatchee"/>
    <s v="N/A"/>
    <n v="0"/>
    <s v="N/A"/>
    <s v="Clewiston Drainage District"/>
    <s v="N/A"/>
    <s v="N/A"/>
    <s v="N/A"/>
    <s v="26.755175"/>
    <s v="-80.935078"/>
    <s v="N/A"/>
    <m/>
    <s v="Non-structural"/>
    <m/>
    <n v="2019"/>
    <s v="N/A"/>
    <s v="N/A"/>
    <m/>
  </r>
  <r>
    <s v="CALO"/>
    <n v="5175"/>
    <x v="3"/>
    <s v="N/A"/>
    <s v="CD-04"/>
    <s v="Control Structures"/>
    <s v="Annual maintenance of water control structures."/>
    <s v="Control Structure"/>
    <x v="2"/>
    <s v="2020"/>
    <s v="N/A"/>
    <s v="N/A"/>
    <s v="N/A"/>
    <s v="East Caloosahatchee"/>
    <s v="N/A"/>
    <n v="22500"/>
    <s v="N/A"/>
    <s v="Clewiston Drainage District"/>
    <s v="$22,500"/>
    <s v="N/A"/>
    <s v="N/A"/>
    <s v="26.7563138888889"/>
    <s v="-80.9277222222222"/>
    <s v="N/A"/>
    <m/>
    <s v="Structural"/>
    <m/>
    <n v="2019"/>
    <s v="N/A"/>
    <s v="N/A"/>
    <m/>
  </r>
  <r>
    <s v="CALO"/>
    <n v="5176"/>
    <x v="3"/>
    <s v="N/A"/>
    <s v="CD-05"/>
    <s v="Aquatic Vegetation Control"/>
    <s v="Mechanical removal of vegetation."/>
    <s v="Aquatic Vegetation Harvesting"/>
    <x v="0"/>
    <s v="2020"/>
    <s v="N/A"/>
    <s v="N/A"/>
    <s v="N/A"/>
    <s v="East Caloosahatchee"/>
    <s v="N/A"/>
    <n v="2000"/>
    <s v="N/A"/>
    <s v="Clewiston Drainage District"/>
    <s v="$14,000"/>
    <s v="N/A"/>
    <s v="N/A"/>
    <s v="26.755175"/>
    <s v="-80.935078"/>
    <s v="N/A"/>
    <m/>
    <s v="Non-structural"/>
    <m/>
    <n v="2019"/>
    <s v="N/A"/>
    <s v="N/A"/>
    <m/>
  </r>
  <r>
    <s v="CALO"/>
    <n v="2331"/>
    <x v="4"/>
    <s v="Not provided"/>
    <s v="CH-01"/>
    <s v="Education Efforts"/>
    <s v="Florida Yards and Neighborhoods (FYN) Program; landscape, irrigation, and fertilizer ordinances; pamphlets, public service announcements (PSAs), website, inspection/illicit discharge program."/>
    <s v="Education Efforts"/>
    <x v="2"/>
    <s v="Not provided"/>
    <s v="N/A"/>
    <n v="1272.2774924126636"/>
    <n v="212.39781875572319"/>
    <s v="Tidal Caloosahatchee; West Caloosahatchee"/>
    <s v="N/A"/>
    <s v="Not provided"/>
    <s v="Not provided"/>
    <s v="Not provided"/>
    <s v="Not provided"/>
    <s v="N/A"/>
    <s v="N/A"/>
    <s v="Not provided"/>
    <s v="Not provided"/>
    <s v="N/A"/>
    <m/>
    <s v="Non-structural"/>
    <s v="Ongoing"/>
    <n v="2012"/>
    <n v="172.71195788"/>
    <s v="N/A"/>
    <m/>
  </r>
  <r>
    <s v="CALO"/>
    <n v="5177"/>
    <x v="5"/>
    <s v="DEP/ FDACS"/>
    <s v="CL-01"/>
    <s v="Public Education and Outreach"/>
    <s v="Updates on BMAP and requirements during annual landowner meetings."/>
    <s v="Education Efforts"/>
    <x v="0"/>
    <s v="Not provided"/>
    <s v="N/A"/>
    <s v="N/A"/>
    <s v="N/A"/>
    <s v="West Caloosahatchee"/>
    <s v="N/A"/>
    <s v="Not provided"/>
    <s v="N/A"/>
    <s v="County Line Drainage District"/>
    <s v="Not provided"/>
    <s v="N/A"/>
    <s v="N/A"/>
    <s v="Not provided"/>
    <s v="Not provided"/>
    <s v="N/A"/>
    <m/>
    <s v="Non-structural"/>
    <m/>
    <n v="2019"/>
    <s v="N/A"/>
    <s v="N/A"/>
    <m/>
  </r>
  <r>
    <s v="CALO"/>
    <n v="5178"/>
    <x v="5"/>
    <s v="FDACS"/>
    <s v="CL-02"/>
    <s v="FDACS BMP Assistance"/>
    <s v="Provide assistance to FDACS, as needed, to encourage landowners to enroll in BMPs."/>
    <s v="Agricultural BMPs"/>
    <x v="0"/>
    <s v="Not provided"/>
    <s v="N/A"/>
    <s v="N/A"/>
    <s v="N/A"/>
    <s v="West Caloosahatchee"/>
    <s v="N/A"/>
    <s v="Not provided"/>
    <s v="N/A"/>
    <s v="County Line Drainage District"/>
    <s v="Not provided"/>
    <s v="N/A"/>
    <s v="N/A"/>
    <s v="Not provided"/>
    <s v="Not provided"/>
    <s v="N/A"/>
    <m/>
    <s v="Non-structural"/>
    <m/>
    <n v="2019"/>
    <s v="N/A"/>
    <s v="N/A"/>
    <m/>
  </r>
  <r>
    <s v="CALO"/>
    <n v="5179"/>
    <x v="5"/>
    <s v="N/A"/>
    <s v="CL-03"/>
    <s v="Nutrient Controls"/>
    <s v="No application of fertilizer in district's rights-of-way."/>
    <s v="Fertilizer Cessation"/>
    <x v="1"/>
    <s v="Not provided"/>
    <s v="2020"/>
    <s v="N/A"/>
    <s v="N/A"/>
    <s v="West Caloosahatchee"/>
    <s v="N/A"/>
    <s v="Not provided"/>
    <s v="N/A"/>
    <s v="County Line Drainage District"/>
    <s v="Not provided"/>
    <s v="N/A"/>
    <s v="N/A"/>
    <s v="Not provided"/>
    <s v="Not provided"/>
    <s v="N/A"/>
    <m/>
    <s v="Non-structural"/>
    <m/>
    <n v="2019"/>
    <s v="N/A"/>
    <s v="N/A"/>
    <m/>
  </r>
  <r>
    <s v="CALO"/>
    <n v="5180"/>
    <x v="5"/>
    <s v="N/A"/>
    <s v="CL-04"/>
    <s v="Canal Cleaning Program"/>
    <s v="Review and field evaluation of sediment accumulation and scheduling of removal, when necessary."/>
    <s v="Muck Removal/Restoration Dredging"/>
    <x v="0"/>
    <s v="Not provided"/>
    <s v="N/A"/>
    <s v="N/A"/>
    <s v="N/A"/>
    <s v="West Caloosahatchee"/>
    <s v="N/A"/>
    <s v="Not provided"/>
    <s v="N/A"/>
    <s v="County Line Drainage District"/>
    <s v="Not provided"/>
    <s v="N/A"/>
    <s v="N/A"/>
    <s v="Not provided"/>
    <s v="Not provided"/>
    <s v="N/A"/>
    <m/>
    <s v="Non-structural"/>
    <m/>
    <n v="2019"/>
    <s v="N/A"/>
    <s v="N/A"/>
    <m/>
  </r>
  <r>
    <s v="CALO"/>
    <n v="5181"/>
    <x v="5"/>
    <s v="N/A"/>
    <s v="CL-05"/>
    <s v="Control Structures"/>
    <s v="Annual maintenance of water control structures."/>
    <s v="Control Structure"/>
    <x v="2"/>
    <s v="Not provided"/>
    <s v="N/A"/>
    <s v="N/A"/>
    <s v="N/A"/>
    <s v="West Caloosahatchee"/>
    <s v="N/A"/>
    <s v="Not provided"/>
    <s v="N/A"/>
    <s v="County Line Drainage District"/>
    <s v="Not provided"/>
    <s v="N/A"/>
    <s v="N/A"/>
    <s v="Not provided"/>
    <s v="Not provided"/>
    <s v="N/A"/>
    <m/>
    <s v="Structural"/>
    <m/>
    <n v="2019"/>
    <s v="N/A"/>
    <s v="N/A"/>
    <m/>
  </r>
  <r>
    <s v="CALO"/>
    <n v="5734"/>
    <x v="6"/>
    <s v="N/A"/>
    <s v="CW-04"/>
    <s v="Reverse Osmosis WTP Dry Pond"/>
    <s v="Dry detention pond (volume required = 0.23 ac-ft, volume provided = 1.12 ac-ft)."/>
    <s v="Dry Detention Pond"/>
    <x v="1"/>
    <s v="2006"/>
    <s v="Prior to 2012"/>
    <n v="18.7"/>
    <n v="1.4"/>
    <s v="East Caloosahatchee"/>
    <n v="68"/>
    <s v="N/A"/>
    <s v="N/A"/>
    <s v="N/A"/>
    <s v="N/A"/>
    <s v="N/A"/>
    <s v="N/A"/>
    <s v="26.741323"/>
    <s v="-80.938836"/>
    <s v="N/A"/>
    <s v="N"/>
    <s v="Structural"/>
    <m/>
    <n v="2020"/>
    <s v="N/A"/>
    <s v="N/A"/>
    <m/>
  </r>
  <r>
    <s v="CALO"/>
    <n v="5735"/>
    <x v="6"/>
    <s v="Sweet Lake Villas, LLC"/>
    <s v="CW-05"/>
    <s v="Sweet Lake Villas Community Association, Inc."/>
    <s v="Wet detention pond (volume required = 0.71 ac-ft, volume provided = 1.88 ac-ft)."/>
    <s v="Wet Detention Pond"/>
    <x v="1"/>
    <s v="2006"/>
    <s v="Prior to 2012"/>
    <n v="1.4"/>
    <n v="0.6"/>
    <s v="East Caloosahatchee"/>
    <n v="7.2"/>
    <s v="N/A"/>
    <s v="N/A"/>
    <s v="N/A"/>
    <s v="N/A"/>
    <s v="N/A"/>
    <s v="N/A"/>
    <s v="26.756734"/>
    <s v="-80.945721"/>
    <s v="N/A"/>
    <s v="N"/>
    <s v="Structural"/>
    <m/>
    <n v="2020"/>
    <s v="N/A"/>
    <s v="N/A"/>
    <m/>
  </r>
  <r>
    <s v="CALO"/>
    <n v="5736"/>
    <x v="6"/>
    <s v="N/A"/>
    <s v="CW-06"/>
    <s v="East Ventura Water Quality"/>
    <s v="Constructed wetlands to treat runoff."/>
    <s v="Stormwater Treatment Areas (STAs)"/>
    <x v="3"/>
    <s v="2020"/>
    <s v="TBD"/>
    <n v="37.700000000000003"/>
    <n v="6.3"/>
    <s v="East Caloosahatchee"/>
    <n v="22.7"/>
    <n v="461000"/>
    <s v="TBD"/>
    <s v="Grant"/>
    <s v="$461,000"/>
    <s v="TBD"/>
    <s v="26-103570-P"/>
    <s v="26.751328"/>
    <s v="-80.930083"/>
    <s v="Grant"/>
    <s v="N"/>
    <s v="Structural"/>
    <m/>
    <n v="2020"/>
    <s v="N/A"/>
    <s v="N/A"/>
    <m/>
  </r>
  <r>
    <s v="CALO"/>
    <n v="5182"/>
    <x v="7"/>
    <s v="DEP/ FDACS"/>
    <s v="CS-01"/>
    <s v="Public Education and Outreach"/>
    <s v="Updates on BMAP and requirements during annual landowner meetings."/>
    <s v="Education Efforts"/>
    <x v="0"/>
    <s v="2021"/>
    <s v="N/A"/>
    <s v="N/A"/>
    <s v="N/A"/>
    <s v="East Caloosahatchee"/>
    <s v="N/A"/>
    <n v="500"/>
    <s v="N/A"/>
    <s v="Collins Slough WCD"/>
    <s v="$500"/>
    <s v="N/A"/>
    <s v="N/A"/>
    <s v="26.649244"/>
    <s v="-81.274416"/>
    <s v="N/A"/>
    <m/>
    <s v="Non-structural"/>
    <m/>
    <n v="2019"/>
    <s v="N/A"/>
    <s v="N/A"/>
    <m/>
  </r>
  <r>
    <s v="CALO"/>
    <n v="5183"/>
    <x v="7"/>
    <s v="FDACS"/>
    <s v="CS-02"/>
    <s v="FDACS BMP Assistance"/>
    <s v="Provide assistance to FDACS, as needed, to encourage landowners to enroll in BMPs."/>
    <s v="Agricultural BMPs"/>
    <x v="0"/>
    <s v="2021"/>
    <s v="N/A"/>
    <s v="N/A"/>
    <s v="N/A"/>
    <s v="East Caloosahatchee"/>
    <s v="N/A"/>
    <n v="1000"/>
    <s v="N/A"/>
    <s v="Collins Slough WCD"/>
    <s v="$1,000"/>
    <s v="N/A"/>
    <s v="N/A"/>
    <s v="26.649244"/>
    <s v="-81.274416"/>
    <s v="N/A"/>
    <m/>
    <s v="Non-structural"/>
    <m/>
    <n v="2019"/>
    <s v="N/A"/>
    <s v="N/A"/>
    <m/>
  </r>
  <r>
    <s v="CALO"/>
    <n v="5184"/>
    <x v="7"/>
    <s v="N/A"/>
    <s v="CS-03"/>
    <s v="Nutrient Controls"/>
    <s v="No application of fertilizer in district's rights-of-way."/>
    <s v="Fertilizer Cessation"/>
    <x v="1"/>
    <s v="2021"/>
    <s v="2020"/>
    <s v="N/A"/>
    <s v="N/A"/>
    <s v="East Caloosahatchee"/>
    <s v="N/A"/>
    <n v="0"/>
    <s v="N/A"/>
    <s v="Collins Slough WCD"/>
    <s v="N/A"/>
    <s v="N/A"/>
    <s v="N/A"/>
    <s v="26.657172"/>
    <s v="-81.280753"/>
    <s v="N/A"/>
    <m/>
    <s v="Non-structural"/>
    <m/>
    <n v="2019"/>
    <s v="N/A"/>
    <s v="N/A"/>
    <m/>
  </r>
  <r>
    <s v="CALO"/>
    <n v="5185"/>
    <x v="7"/>
    <s v="N/A"/>
    <s v="CS-04"/>
    <s v="Canal Cleaning Program"/>
    <s v="Review and field evaluation of sediment accumulation and scheduling of removal, when necessary."/>
    <s v="Muck Removal/Restoration Dredging"/>
    <x v="0"/>
    <s v="2021"/>
    <s v="N/A"/>
    <s v="N/A"/>
    <s v="N/A"/>
    <s v="East Caloosahatchee"/>
    <s v="N/A"/>
    <n v="75000"/>
    <s v="N/A"/>
    <s v="Collins Slough WCD"/>
    <s v="$75,000"/>
    <s v="N/A"/>
    <s v="N/A"/>
    <s v="26.657172"/>
    <s v="-81.280753"/>
    <s v="N/A"/>
    <m/>
    <s v="Non-structural"/>
    <m/>
    <n v="2019"/>
    <s v="N/A"/>
    <s v="N/A"/>
    <m/>
  </r>
  <r>
    <s v="CALO"/>
    <n v="5186"/>
    <x v="7"/>
    <s v="N/A"/>
    <s v="CS-05"/>
    <s v="Control Structures"/>
    <s v="Annual maintenance of water control structures."/>
    <s v="Control Structure"/>
    <x v="2"/>
    <s v="2021"/>
    <s v="N/A"/>
    <s v="N/A"/>
    <s v="N/A"/>
    <s v="East Caloosahatchee"/>
    <s v="N/A"/>
    <n v="20000"/>
    <s v="N/A"/>
    <s v="Collins Slough WCD"/>
    <s v="$20,000"/>
    <s v="N/A"/>
    <s v="N/A"/>
    <s v="26.779836"/>
    <s v="-81.233122"/>
    <s v="N/A"/>
    <m/>
    <s v="Structural"/>
    <m/>
    <n v="2019"/>
    <s v="N/A"/>
    <s v="N/A"/>
    <m/>
  </r>
  <r>
    <s v="CALO"/>
    <n v="5187"/>
    <x v="8"/>
    <s v="DEP/ FDACS"/>
    <s v="CSW-01"/>
    <s v="Public Education and Outreach"/>
    <s v="Updates on BMAP and requirements during annual landowner meetings."/>
    <s v="Education Efforts"/>
    <x v="0"/>
    <s v="2020"/>
    <s v="N/A"/>
    <s v="N/A"/>
    <s v="N/A"/>
    <s v="West Caloosahatchee"/>
    <s v="N/A"/>
    <n v="500"/>
    <s v="N/A"/>
    <s v="Cow Slough WCD"/>
    <s v="$500"/>
    <s v="N/A"/>
    <s v="N/A"/>
    <s v="26.514897"/>
    <s v="-81.454758"/>
    <s v="N/A"/>
    <m/>
    <s v="Non-structural"/>
    <m/>
    <n v="2019"/>
    <s v="N/A"/>
    <s v="N/A"/>
    <m/>
  </r>
  <r>
    <s v="CALO"/>
    <n v="5188"/>
    <x v="8"/>
    <s v="FDACS"/>
    <s v="CSW-02"/>
    <s v="FDACS BMP Assistance"/>
    <s v="Provide assistance to FDACS, as needed, to encourage landowners to enroll in BMPs."/>
    <s v="Agricultural BMPs"/>
    <x v="0"/>
    <s v="2020"/>
    <s v="N/A"/>
    <s v="N/A"/>
    <s v="N/A"/>
    <s v="West Caloosahatchee"/>
    <s v="N/A"/>
    <n v="1000"/>
    <s v="N/A"/>
    <s v="Cow Slough WCD"/>
    <s v="$1,000"/>
    <s v="N/A"/>
    <s v="N/A"/>
    <s v="26.514897"/>
    <s v="-81.454758"/>
    <s v="N/A"/>
    <m/>
    <s v="Non-structural"/>
    <m/>
    <n v="2019"/>
    <s v="N/A"/>
    <s v="N/A"/>
    <m/>
  </r>
  <r>
    <s v="CALO"/>
    <n v="5189"/>
    <x v="8"/>
    <s v="N/A"/>
    <s v="CSW-03"/>
    <s v="Nutrient Controls"/>
    <s v="No application of fertilizer in district's rights-of-way."/>
    <s v="Fertilizer Cessation"/>
    <x v="1"/>
    <s v="2020"/>
    <s v="2020"/>
    <s v="N/A"/>
    <s v="N/A"/>
    <s v="West Caloosahatchee"/>
    <s v="N/A"/>
    <n v="0"/>
    <s v="N/A"/>
    <s v="Cow Slough WCD"/>
    <s v="N/A"/>
    <s v="N/A"/>
    <s v="N/A"/>
    <s v="26.531367"/>
    <s v="-81.46105"/>
    <s v="N/A"/>
    <m/>
    <s v="Non-structural"/>
    <m/>
    <n v="2019"/>
    <s v="N/A"/>
    <s v="N/A"/>
    <m/>
  </r>
  <r>
    <s v="CALO"/>
    <n v="5190"/>
    <x v="8"/>
    <s v="N/A"/>
    <s v="CSW-04"/>
    <s v="Canal/Ditch Bank Berms"/>
    <s v="Minimize sediment transport by constructing berms on top of canal/ditch banks and promoting vegetation cover."/>
    <s v="Shoreline Stabilization"/>
    <x v="0"/>
    <s v="2020"/>
    <s v="N/A"/>
    <s v="N/A"/>
    <s v="N/A"/>
    <s v="West Caloosahatchee"/>
    <s v="N/A"/>
    <n v="13000"/>
    <s v="N/A"/>
    <s v="Cow Slough WCD"/>
    <s v="$13,000"/>
    <s v="N/A"/>
    <s v="N/A"/>
    <s v="26.53136722"/>
    <s v="-81.4610504"/>
    <s v="N/A"/>
    <m/>
    <s v="Structural"/>
    <m/>
    <n v="2019"/>
    <s v="N/A"/>
    <s v="N/A"/>
    <m/>
  </r>
  <r>
    <s v="CALO"/>
    <n v="5191"/>
    <x v="8"/>
    <s v="N/A"/>
    <s v="CSW-05"/>
    <s v="Control Structures"/>
    <s v="Annual maintenance of water control structures."/>
    <s v="Control Structure"/>
    <x v="2"/>
    <s v="2020"/>
    <s v="N/A"/>
    <s v="N/A"/>
    <s v="N/A"/>
    <s v="West Caloosahatchee"/>
    <s v="N/A"/>
    <n v="2500"/>
    <s v="N/A"/>
    <s v="Cow Slough WCD"/>
    <s v="$2,500"/>
    <s v="N/A"/>
    <s v="N/A"/>
    <s v="26.573"/>
    <s v="-81.465186"/>
    <s v="N/A"/>
    <m/>
    <s v="Structural"/>
    <m/>
    <n v="2019"/>
    <s v="N/A"/>
    <s v="N/A"/>
    <m/>
  </r>
  <r>
    <s v="CALO"/>
    <n v="4841"/>
    <x v="6"/>
    <s v="N/A"/>
    <s v="CW-01"/>
    <s v="Clewiston Public Education"/>
    <s v="Landscaping, irrigation, fertilizer, and stormwater ordinances; PSAs; pamphlets; website; illicit discharge program."/>
    <s v="Education Efforts"/>
    <x v="2"/>
    <s v="N/A"/>
    <s v="N/A"/>
    <n v="194.46640778886223"/>
    <n v="29.469053180951033"/>
    <s v="East Caloosahatchee"/>
    <s v="N/A"/>
    <n v="10000"/>
    <s v="N/A"/>
    <s v="City General Fund"/>
    <s v="$10,000"/>
    <s v="N/A"/>
    <s v="N/A"/>
    <s v="26.749203"/>
    <s v="-80.934823"/>
    <s v="N/A"/>
    <s v="N"/>
    <s v="Non-structural"/>
    <s v="Underway"/>
    <n v="2019"/>
    <s v="N/A"/>
    <s v="N/A"/>
    <m/>
  </r>
  <r>
    <s v="CALO"/>
    <n v="4842"/>
    <x v="6"/>
    <s v="N/A"/>
    <s v="CW-02"/>
    <s v="Clewiston Street Sweeping"/>
    <s v="215 miles swept."/>
    <s v="Street Sweeping"/>
    <x v="2"/>
    <s v="N/A"/>
    <s v="N/A"/>
    <n v="74.096807986236243"/>
    <n v="45.305250127760701"/>
    <s v="East Caloosahatchee"/>
    <s v="N/A"/>
    <s v="N/A"/>
    <s v="N/A"/>
    <s v="City General Fund"/>
    <s v="N/A"/>
    <s v="N/A"/>
    <s v="N/A"/>
    <s v="26.749203"/>
    <s v="-80.934823"/>
    <s v="N/A"/>
    <s v="N"/>
    <s v="Non-structural"/>
    <s v="Underway"/>
    <n v="2019"/>
    <s v="N/A"/>
    <s v="N/A"/>
    <m/>
  </r>
  <r>
    <s v="CALO"/>
    <n v="4843"/>
    <x v="6"/>
    <s v="N/A"/>
    <s v="CW-03"/>
    <s v="Clewiston Inlet Maintenance"/>
    <s v="40 inlets cleaned."/>
    <s v="Catch Basin Inserts/Inlet Filter Cleanout"/>
    <x v="2"/>
    <s v="N/A"/>
    <s v="N/A"/>
    <n v="10.460725833350999"/>
    <n v="6.7118889078163999"/>
    <s v="East Caloosahatchee"/>
    <s v="N/A"/>
    <s v="N/A"/>
    <s v="N/A"/>
    <s v="City General Fund"/>
    <s v="N/A"/>
    <s v="N/A"/>
    <s v="N/A"/>
    <s v="26.749203"/>
    <s v="-80.934823"/>
    <s v="N/A"/>
    <s v="N"/>
    <s v="Non-structural"/>
    <s v="Underway"/>
    <n v="2019"/>
    <s v="N/A"/>
    <s v="N/A"/>
    <m/>
  </r>
  <r>
    <s v="CALO"/>
    <n v="5737"/>
    <x v="9"/>
    <s v="HUD/ DEO"/>
    <s v="HC-01"/>
    <s v="Four Corners MSBU / County Line Ditch Widening"/>
    <s v="Hendry County residents in the vicinity of the project area experience frequent flooding conditions due to the lack of drainage infrastructure capacity. Improvements will allow the upstream watershed to pass through a system that will reduce nutrient loading prior to discharging into the Caloosahatchee River downstream."/>
    <s v="Retention/Detention BMP Retrofit with Nutrient Reducing Media"/>
    <x v="0"/>
    <s v="2021"/>
    <s v="2022"/>
    <s v="TBD"/>
    <s v="TBD"/>
    <s v="LaBelle, Hendry County"/>
    <s v="TBD"/>
    <s v="TBD"/>
    <s v="TBD"/>
    <s v="DEO"/>
    <s v="$4,297,112"/>
    <s v="N/A"/>
    <s v="N/A"/>
    <s v="26.748338"/>
    <s v="-81.566183"/>
    <s v="Apply for additional state grant funds as necessary"/>
    <s v="Attached PDF"/>
    <s v="Structural"/>
    <m/>
    <n v="2020"/>
    <s v="N/A"/>
    <s v="N/A"/>
    <m/>
  </r>
  <r>
    <s v="CALO"/>
    <n v="5738"/>
    <x v="9"/>
    <s v="N/A"/>
    <s v="HC-02"/>
    <s v="North LaBelle Water Quality"/>
    <s v="Provide water quality components to treat stormwater along Mohawk Avenue prior to discharging into the Roy Brown Canal and flowing into the Caloosahatchee River."/>
    <s v="Retention/Detention BMP Retrofit with Nutrient Reducing Media"/>
    <x v="0"/>
    <s v="2023"/>
    <s v="2025"/>
    <s v="TBD"/>
    <s v="TBD"/>
    <s v="LaBelle, Hendry County"/>
    <s v="TBD"/>
    <n v="200000"/>
    <s v="TBD"/>
    <s v="North LaBelle Municipal Service Benefit Unit"/>
    <s v="$200,000"/>
    <s v="N/A"/>
    <s v="N/A"/>
    <s v="26.770547"/>
    <s v="-81.454361"/>
    <s v="N/A"/>
    <s v="Attached PDF"/>
    <s v="Structural"/>
    <m/>
    <n v="2020"/>
    <s v="N/A"/>
    <s v="N/A"/>
    <m/>
  </r>
  <r>
    <s v="CALO"/>
    <n v="5739"/>
    <x v="9"/>
    <s v="DEP/ Port LaBelle Utility System/ City of Clewiston/ Airglades Airport/ Tetra Tech"/>
    <s v="HC-03"/>
    <s v="Phase 1 of a Force Main Extension from Airglades Airport to the City of Clewiston"/>
    <s v="Hendry County plans to construct a force main that will extend from the Airglades Airport to the City of Clewiston. The work consists of constructing a wastewater transmission system to convey raw wastewater from the Airglades Airport WWTP to the City of Clewiston WWTP. The force main will allow the existing Airglades Airport WWTP to be converted to a master pumping station and will transfer wastewater flows to the City of Clewiston’s WWTP."/>
    <s v="WWTF Upgrade"/>
    <x v="3"/>
    <s v="2016"/>
    <s v="2022"/>
    <s v="N/A"/>
    <s v="N/A"/>
    <s v="Clewiston, Hendry County"/>
    <s v="N/A"/>
    <n v="1284529.57"/>
    <s v="N/A"/>
    <s v="DEP"/>
    <s v="$1,075,195"/>
    <s v="LPA0086"/>
    <s v="N/A"/>
    <s v="26.725100"/>
    <s v=" -80.954200"/>
    <s v="Apply for additional state grant funds as necessary"/>
    <s v="Attached PDF"/>
    <s v="Structural"/>
    <m/>
    <n v="2020"/>
    <s v="N/A"/>
    <s v="N/A"/>
    <m/>
  </r>
  <r>
    <s v="CALO"/>
    <n v="5192"/>
    <x v="10"/>
    <s v="DEP/ FDACS"/>
    <s v="DG-01"/>
    <s v="Public Education and Outreach"/>
    <s v="Updates on BMAP and requirements during annual landowner meetings."/>
    <s v="Education Efforts"/>
    <x v="0"/>
    <s v="2020"/>
    <s v="N/A"/>
    <s v="N/A"/>
    <s v="N/A"/>
    <s v="West Caloosahatchee"/>
    <s v="N/A"/>
    <n v="500"/>
    <s v="N/A"/>
    <s v="Devil's Garden WCD"/>
    <s v="$500"/>
    <s v="N/A"/>
    <s v="N/A"/>
    <s v="26.594803"/>
    <s v="-81.232531"/>
    <s v="N/A"/>
    <m/>
    <s v="Non-structural"/>
    <m/>
    <n v="2019"/>
    <s v="N/A"/>
    <s v="N/A"/>
    <m/>
  </r>
  <r>
    <s v="CALO"/>
    <n v="5193"/>
    <x v="10"/>
    <s v="FDACS"/>
    <s v="DG-02"/>
    <s v="FDACS BMP Assistance"/>
    <s v="Provide assistance to FDACS, as needed, to encourage landowners to enroll in BMPs."/>
    <s v="Agricultural BMPs"/>
    <x v="0"/>
    <s v="2020"/>
    <s v="N/A"/>
    <s v="N/A"/>
    <s v="N/A"/>
    <s v="West Caloosahatchee"/>
    <s v="N/A"/>
    <n v="1000"/>
    <s v="N/A"/>
    <s v="Devil's Garden WCD"/>
    <s v="$1,000"/>
    <s v="N/A"/>
    <s v="N/A"/>
    <s v="26.594803"/>
    <s v="-81.232531"/>
    <s v="N/A"/>
    <m/>
    <s v="Non-structural"/>
    <m/>
    <n v="2019"/>
    <s v="N/A"/>
    <s v="N/A"/>
    <m/>
  </r>
  <r>
    <s v="CALO"/>
    <n v="5194"/>
    <x v="10"/>
    <s v="N/A"/>
    <s v="DG-03"/>
    <s v="Nutrient Controls"/>
    <s v="No application of fertilizer in district's rights-of-way."/>
    <s v="Fertilizer Cessation"/>
    <x v="1"/>
    <s v="2020"/>
    <s v="2020"/>
    <s v="N/A"/>
    <s v="N/A"/>
    <s v="West Caloosahatchee"/>
    <s v="N/A"/>
    <n v="0"/>
    <s v="N/A"/>
    <s v="Devil's Garden WCD"/>
    <s v="N/A"/>
    <s v="N/A"/>
    <s v="N/A"/>
    <s v="26.625883"/>
    <s v="-81.236528"/>
    <s v="N/A"/>
    <m/>
    <s v="Non-structural"/>
    <m/>
    <n v="2019"/>
    <s v="N/A"/>
    <s v="N/A"/>
    <m/>
  </r>
  <r>
    <s v="CALO"/>
    <n v="5195"/>
    <x v="10"/>
    <s v="N/A"/>
    <s v="DG-04"/>
    <s v="Canal Cleaning Program"/>
    <s v="Review and field evaluation of sediment accumulation and scheduling of removal, when necessary."/>
    <s v="Muck Removal/Restoration Dredging"/>
    <x v="0"/>
    <s v="2020"/>
    <s v="N/A"/>
    <s v="N/A"/>
    <s v="N/A"/>
    <s v="West Caloosahatchee"/>
    <s v="N/A"/>
    <n v="75000"/>
    <s v="N/A"/>
    <s v="Devil's Garden WCD"/>
    <s v="$75,000"/>
    <s v="N/A"/>
    <s v="N/A"/>
    <s v="26.625883"/>
    <s v="-81.236528"/>
    <s v="N/A"/>
    <m/>
    <s v="Non-structural"/>
    <m/>
    <n v="2019"/>
    <s v="N/A"/>
    <s v="N/A"/>
    <m/>
  </r>
  <r>
    <s v="CALO"/>
    <n v="5196"/>
    <x v="10"/>
    <s v="N/A"/>
    <s v="DG-05"/>
    <s v="Control Structures"/>
    <s v="Annual maintenance of water control structures."/>
    <s v="Control Structure"/>
    <x v="2"/>
    <s v="2021"/>
    <s v="N/A"/>
    <s v="N/A"/>
    <s v="N/A"/>
    <s v="West Caloosahatchee"/>
    <s v="N/A"/>
    <n v="20000"/>
    <s v="N/A"/>
    <s v="Devil's Garden WCD"/>
    <s v="$20,000"/>
    <s v="N/A"/>
    <s v="N/A"/>
    <s v="26.779794"/>
    <s v="-81.233103"/>
    <s v="N/A"/>
    <m/>
    <s v="Structural"/>
    <m/>
    <n v="2019"/>
    <s v="N/A"/>
    <s v="N/A"/>
    <m/>
  </r>
  <r>
    <s v="CALO"/>
    <n v="5197"/>
    <x v="11"/>
    <s v="DEP/ FDACS"/>
    <s v="DI-01"/>
    <s v="Public Education and Outreach"/>
    <s v="Updates on BMAP and requirements during annual landowner meetings."/>
    <s v="Education Efforts"/>
    <x v="0"/>
    <s v="2021"/>
    <s v="N/A"/>
    <s v="N/A"/>
    <s v="N/A"/>
    <s v="East Caloosahatchee"/>
    <s v="N/A"/>
    <n v="500"/>
    <s v="N/A"/>
    <s v="Disston Island Conservancy District"/>
    <s v="$500"/>
    <s v="N/A"/>
    <s v="N/A"/>
    <s v="26.826065"/>
    <s v="-81.781427"/>
    <s v="N/A"/>
    <m/>
    <s v="Non-structural"/>
    <m/>
    <n v="2019"/>
    <s v="N/A"/>
    <s v="N/A"/>
    <m/>
  </r>
  <r>
    <s v="CALO"/>
    <n v="5198"/>
    <x v="11"/>
    <s v="FDACS"/>
    <s v="DI-02"/>
    <s v="FDACS BMP Assistance"/>
    <s v="Provide assistance to FDACS, as needed, to encourage landowners to enroll in BMPs."/>
    <s v="Agricultural BMPs"/>
    <x v="0"/>
    <s v="2020"/>
    <s v="N/A"/>
    <s v="N/A"/>
    <s v="N/A"/>
    <s v="East Caloosahatchee"/>
    <s v="N/A"/>
    <n v="1000"/>
    <s v="N/A"/>
    <s v="Disston Island Conservancy District"/>
    <s v="$1,000"/>
    <s v="N/A"/>
    <s v="N/A"/>
    <s v="26.826065"/>
    <s v="-81.781427"/>
    <s v="N/A"/>
    <m/>
    <s v="Non-structural"/>
    <m/>
    <n v="2019"/>
    <s v="N/A"/>
    <s v="N/A"/>
    <m/>
  </r>
  <r>
    <s v="CALO"/>
    <n v="5199"/>
    <x v="11"/>
    <s v="N/A"/>
    <s v="DI-03"/>
    <s v="Nutrient Controls"/>
    <s v="No application of fertilizer in district's rights-of-way."/>
    <s v="Fertilizer Cessation"/>
    <x v="1"/>
    <s v="2020"/>
    <s v="2020"/>
    <s v="N/A"/>
    <s v="N/A"/>
    <s v="East Caloosahatchee"/>
    <s v="N/A"/>
    <n v="0"/>
    <s v="N/A"/>
    <s v="Disston Island Conservancy District"/>
    <s v="N/A"/>
    <s v="N/A"/>
    <s v="N/A"/>
    <s v="26.791572"/>
    <s v="-81.027575"/>
    <s v="N/A"/>
    <m/>
    <s v="Non-structural"/>
    <m/>
    <n v="2019"/>
    <s v="N/A"/>
    <s v="N/A"/>
    <m/>
  </r>
  <r>
    <s v="CALO"/>
    <n v="5200"/>
    <x v="11"/>
    <s v="N/A"/>
    <s v="DI-04"/>
    <s v="Slow Velocity in the Main Canal"/>
    <s v="Minimize sediment transport by slowing velocity in main canal near main discharge structure."/>
    <s v="Control Structure"/>
    <x v="0"/>
    <s v="2021"/>
    <s v="TBD"/>
    <s v="N/A"/>
    <s v="N/A"/>
    <s v="East Caloosahatchee"/>
    <s v="N/A"/>
    <s v="TBD"/>
    <s v="N/A"/>
    <s v="Disston Island Conservancy District"/>
    <s v="TBD"/>
    <s v="N/A"/>
    <s v="N/A"/>
    <s v="26.784144"/>
    <s v="-81.037333"/>
    <s v="N/A"/>
    <m/>
    <s v="Structural"/>
    <m/>
    <n v="2019"/>
    <s v="N/A"/>
    <s v="N/A"/>
    <m/>
  </r>
  <r>
    <s v="CALO"/>
    <n v="5201"/>
    <x v="11"/>
    <s v="N/A"/>
    <s v="DI-05"/>
    <s v="Control Structures"/>
    <s v="Annual maintenance of water control structures."/>
    <s v="Control Structure"/>
    <x v="2"/>
    <s v="2021"/>
    <s v="N/A"/>
    <s v="N/A"/>
    <s v="N/A"/>
    <s v="East Caloosahatchee"/>
    <s v="N/A"/>
    <s v="TBD"/>
    <s v="N/A"/>
    <s v="Disston Island Conservancy District"/>
    <s v="TBD"/>
    <s v="N/A"/>
    <s v="N/A"/>
    <s v="26.806014"/>
    <s v="-81.029964"/>
    <s v="N/A"/>
    <m/>
    <s v="Structural"/>
    <m/>
    <n v="2019"/>
    <s v="N/A"/>
    <s v="N/A"/>
    <m/>
  </r>
  <r>
    <s v="CALO"/>
    <n v="2345"/>
    <x v="12"/>
    <s v="Agricultural Producers"/>
    <s v="FDACS-01"/>
    <s v="BMP Implementation and Verification"/>
    <s v="Enrollment and verification of BMPs by agricultural producers. Attenuated reductions based on HSPF model. Acres treated based on FDACS OAWP December 2020 Enrollment and FSAID VII."/>
    <s v="Agricultural BMPs"/>
    <x v="2"/>
    <s v="N/A"/>
    <s v="N/A"/>
    <n v="62208"/>
    <n v="2295"/>
    <s v="Tidal Caloosahatchee"/>
    <n v="49057.663228099998"/>
    <s v="N/A"/>
    <s v="N/A"/>
    <s v="FDACS"/>
    <s v="TBD"/>
    <s v="N/A"/>
    <s v="N/A"/>
    <s v="Not provided"/>
    <s v="Not provided"/>
    <s v="N/A"/>
    <s v="Y"/>
    <s v="Non-structural"/>
    <s v="Ongoing"/>
    <n v="2012"/>
    <s v="N/A"/>
    <s v="N/A"/>
    <m/>
  </r>
  <r>
    <s v="CALO"/>
    <n v="4844"/>
    <x v="12"/>
    <s v="Agricultural Producers"/>
    <s v="FDACS-02"/>
    <s v="BMP Implementation and Verification"/>
    <s v="Enrollment and verification of BMPs by agricultural producers. Attenuated reductions based on HSPF model. Acres treated based on FDACS OAWP December 2020 Enrollment and FSAID VII."/>
    <s v="Agricultural BMPs"/>
    <x v="2"/>
    <s v="N/A"/>
    <s v="N/A"/>
    <n v="178228"/>
    <n v="10123"/>
    <s v="West Caloosahatchee"/>
    <n v="149388.42381099999"/>
    <s v="N/A"/>
    <s v="N/A"/>
    <s v="FDACS"/>
    <s v="TBD"/>
    <s v="N/A"/>
    <s v="N/A"/>
    <s v="Not provided"/>
    <s v="Not provided"/>
    <s v="N/A"/>
    <s v="Y"/>
    <s v="Non-structural"/>
    <s v="Completed"/>
    <n v="2019"/>
    <s v="N/A"/>
    <s v="N/A"/>
    <m/>
  </r>
  <r>
    <s v="CALO"/>
    <n v="4845"/>
    <x v="12"/>
    <s v="Agricultural Producers"/>
    <s v="FDACS-03"/>
    <s v="BMP Implementation and Verification"/>
    <s v="Enrollment and verification of BMPs by agricultural producers. Attenuated reductions based on HSPF model. Acres treated based on FDACS OAWP December 2020 Enrollment and FSAID VII."/>
    <s v="Agricultural BMPs"/>
    <x v="2"/>
    <s v="N/A"/>
    <s v="N/A"/>
    <n v="119099"/>
    <n v="5298"/>
    <s v="East Caloosahatchee"/>
    <n v="180103.99406999999"/>
    <s v="N/A"/>
    <s v="N/A"/>
    <s v="FDACS"/>
    <s v="TBD"/>
    <s v="N/A"/>
    <s v="N/A"/>
    <s v="Not provided"/>
    <s v="Not provided"/>
    <s v="N/A"/>
    <s v="Y"/>
    <s v="Non-structural"/>
    <s v="Completed"/>
    <n v="2019"/>
    <s v="N/A"/>
    <s v="N/A"/>
    <m/>
  </r>
  <r>
    <s v="CALO"/>
    <n v="4846"/>
    <x v="12"/>
    <s v="Agricultural Producers"/>
    <s v="FDACS-04"/>
    <s v="Cost-Share BMP Projects"/>
    <s v="Cost-share projects paid for by FDACS. Acres treated based on FDACS OAWP June 2020 Enrollment. Reductions estimated by DEP using 2020 BMAP LET."/>
    <s v="Agricultural BMPs"/>
    <x v="2"/>
    <s v="Not provided"/>
    <s v="N/A"/>
    <n v="20202.717250264785"/>
    <n v="1254.9082908748187"/>
    <s v="Tidal Caloosahatchee"/>
    <n v="7107"/>
    <s v="TBD"/>
    <s v="TBD"/>
    <s v="TBD"/>
    <s v="TBD"/>
    <s v="N/A"/>
    <s v="N/A"/>
    <s v="Not provided"/>
    <s v="Not provided"/>
    <s v="N/A"/>
    <s v="Y"/>
    <s v="Non-structural"/>
    <s v="Completed"/>
    <n v="2019"/>
    <s v="N/A"/>
    <s v="N/A"/>
    <m/>
  </r>
  <r>
    <s v="CALO"/>
    <n v="4847"/>
    <x v="12"/>
    <s v="Agricultural Producers"/>
    <s v="FDACS-05"/>
    <s v="Cost-Share BMP Projects"/>
    <s v="Cost-share projects paid for by FDACS. Acres treated based on FDACS OAWP June 2020 Enrollment. Reductions estimated by DEP using 2020 BMAP LET."/>
    <s v="Agricultural BMPs"/>
    <x v="2"/>
    <s v="Not provided"/>
    <s v="N/A"/>
    <n v="26873.408849600462"/>
    <n v="1556.1792481877096"/>
    <s v="West Caloosahatchee"/>
    <n v="19341"/>
    <s v="TBD"/>
    <s v="TBD"/>
    <s v="TBD"/>
    <s v="TBD"/>
    <s v="N/A"/>
    <s v="N/A"/>
    <s v="Not provided"/>
    <s v="Not provided"/>
    <s v="N/A"/>
    <s v="Y"/>
    <s v="Non-structural"/>
    <s v="Completed"/>
    <n v="2019"/>
    <s v="N/A"/>
    <s v="N/A"/>
    <m/>
  </r>
  <r>
    <s v="CALO"/>
    <n v="4848"/>
    <x v="12"/>
    <s v="Agricultural Producers"/>
    <s v="FDACS-06"/>
    <s v="Cost-Share BMP Projects"/>
    <s v="Cost-share projects paid for by FDACS. Acres treated based on FDACS OAWP June 2020 Enrollment. Reductions estimated by DEP using 2020 BMAP LET."/>
    <s v="Agricultural BMPs"/>
    <x v="2"/>
    <s v="Not provided"/>
    <s v="N/A"/>
    <n v="18469.933197654587"/>
    <n v="1069.4887192161029"/>
    <s v="East Caloosahatchee"/>
    <n v="26005"/>
    <s v="TBD"/>
    <s v="TBD"/>
    <s v="TBD"/>
    <s v="TBD"/>
    <s v="N/A"/>
    <s v="N/A"/>
    <s v="Not provided"/>
    <s v="Not provided"/>
    <s v="N/A"/>
    <s v="Y"/>
    <s v="Non-structural"/>
    <s v="Completed"/>
    <n v="2019"/>
    <s v="N/A"/>
    <s v="N/A"/>
    <m/>
  </r>
  <r>
    <s v="CALO"/>
    <n v="2386"/>
    <x v="13"/>
    <s v="N/A"/>
    <s v="FDOT-01"/>
    <s v="Existing Stormwater Dry Ponds"/>
    <s v="Dry detention pond; Facility ID = 12010-3505-01."/>
    <s v="Dry Detention Pond"/>
    <x v="1"/>
    <s v="1997"/>
    <s v="Prior to 2012"/>
    <n v="30.788114170129472"/>
    <s v="TBD"/>
    <s v="Tidal Caloosahatchee"/>
    <n v="2"/>
    <s v="Not provided"/>
    <s v="Not provided"/>
    <s v="Florida Legislature"/>
    <s v="Not provided"/>
    <s v="N/A"/>
    <s v="N/A"/>
    <s v="26.711926245"/>
    <s v="-81.901818974"/>
    <s v="N/A"/>
    <m/>
    <s v="Structural"/>
    <s v="Completed"/>
    <n v="2012"/>
    <n v="15.181724239999999"/>
    <s v="N/A"/>
    <m/>
  </r>
  <r>
    <s v="CALO"/>
    <n v="2384"/>
    <x v="13"/>
    <s v="N/A"/>
    <s v="FDOT-02"/>
    <s v="Existing Stormwater Dry Ponds"/>
    <s v="Dry detention pond; Facility ID = 12060-3530-01."/>
    <s v="Dry Detention Pond"/>
    <x v="1"/>
    <s v="1996"/>
    <s v="Prior to 2012"/>
    <n v="3.73189262668236"/>
    <s v="TBD"/>
    <s v="Tidal Caloosahatchee"/>
    <n v="2"/>
    <s v="Not provided"/>
    <s v="Not provided"/>
    <s v="Florida Legislature"/>
    <s v="Not provided"/>
    <s v="N/A"/>
    <s v="N/A"/>
    <s v="26.681941407"/>
    <s v="-81.903253815"/>
    <s v="N/A"/>
    <m/>
    <s v="Structural"/>
    <s v="Completed"/>
    <n v="2012"/>
    <n v="1.7100418399999999"/>
    <s v="N/A"/>
    <m/>
  </r>
  <r>
    <s v="CALO"/>
    <n v="2343"/>
    <x v="13"/>
    <s v="N/A"/>
    <s v="FDOT-03"/>
    <s v="Existing Stormwater Dry Ponds"/>
    <s v="Dry detention pond; Facility ID = 12060-3530-02."/>
    <s v="Dry Detention Pond"/>
    <x v="1"/>
    <s v="1996"/>
    <s v="Prior to 2012"/>
    <n v="3.73189262668236"/>
    <s v="TBD"/>
    <s v="Tidal Caloosahatchee"/>
    <n v="2"/>
    <s v="Not provided"/>
    <s v="Not provided"/>
    <s v="Florida Legislature"/>
    <s v="Not provided"/>
    <s v="N/A"/>
    <s v="N/A"/>
    <s v="26.681789792"/>
    <s v="-81.901230369"/>
    <s v="N/A"/>
    <m/>
    <s v="Structural"/>
    <s v="Ongoing"/>
    <n v="2012"/>
    <n v="1.8778708799999999"/>
    <s v="N/A"/>
    <m/>
  </r>
  <r>
    <s v="CALO"/>
    <n v="2364"/>
    <x v="13"/>
    <s v="N/A"/>
    <s v="FDOT-04"/>
    <s v="Discontinue Fertilization"/>
    <s v="No longer fertilizing rights-of-way in watershed."/>
    <s v="Fertilizer Cessation"/>
    <x v="1"/>
    <s v="2005"/>
    <s v="2005"/>
    <n v="1810.9008970976151"/>
    <n v="453.83971559779275"/>
    <s v="Tidal Caloosahatchee"/>
    <n v="465"/>
    <s v="Not provided"/>
    <s v="Not provided"/>
    <s v="Florida Legislature"/>
    <s v="Not provided"/>
    <s v="N/A"/>
    <s v="N/A"/>
    <s v="Not provided"/>
    <s v="Not provided"/>
    <s v="N/A"/>
    <m/>
    <s v="Non-structural"/>
    <s v="Ongoing"/>
    <n v="2012"/>
    <n v="880.42207199999996"/>
    <s v="N/A"/>
    <m/>
  </r>
  <r>
    <s v="CALO"/>
    <n v="2362"/>
    <x v="13"/>
    <s v="N/A"/>
    <s v="FDOT-05"/>
    <s v="Education Efforts"/>
    <s v="Pamphlets, PSAs, illicit discharge program."/>
    <s v="Education Efforts"/>
    <x v="2"/>
    <s v="2005"/>
    <s v="N/A"/>
    <n v="252.90699958457918"/>
    <n v="53.670550967361258"/>
    <s v="Tidal Caloosahatchee"/>
    <s v="N/A"/>
    <s v="Not provided"/>
    <s v="Not provided"/>
    <s v="Florida Legislature"/>
    <s v="Not provided"/>
    <s v="N/A"/>
    <s v="N/A"/>
    <s v="Not provided"/>
    <s v="Not provided"/>
    <s v="N/A"/>
    <m/>
    <s v="Non-structural"/>
    <s v="Completed"/>
    <n v="2012"/>
    <n v="105.233344"/>
    <s v="N/A"/>
    <m/>
  </r>
  <r>
    <s v="CALO"/>
    <n v="2360"/>
    <x v="13"/>
    <s v="N/A"/>
    <s v="FDOT-06"/>
    <s v="Street Sweeping"/>
    <s v="Street sweeping."/>
    <s v="Street Sweeping"/>
    <x v="2"/>
    <s v="2002"/>
    <s v="N/A"/>
    <n v="473.01739043198916"/>
    <n v="346.22823664161507"/>
    <s v="Tidal Caloosahatchee"/>
    <s v="N/A"/>
    <s v="Not provided"/>
    <s v="Not provided"/>
    <s v="Florida Legislature"/>
    <s v="Not provided"/>
    <s v="N/A"/>
    <s v="N/A"/>
    <s v="Not provided"/>
    <s v="Not provided"/>
    <s v="N/A"/>
    <m/>
    <s v="Non-structural"/>
    <s v="Completed"/>
    <n v="2012"/>
    <n v="598.74192840000001"/>
    <s v="N/A"/>
    <m/>
  </r>
  <r>
    <s v="CALO"/>
    <n v="2358"/>
    <x v="13"/>
    <s v="N/A"/>
    <s v="FDOT-07"/>
    <s v="Ditch Blocked Swales"/>
    <s v="Swales with ditch blocks. Facility ID = 12020-3538-02."/>
    <s v="Grass Swales with Swale Blocks or Raised Culverts"/>
    <x v="1"/>
    <s v="1990"/>
    <s v="Prior to 2012"/>
    <n v="273.36113490448287"/>
    <s v="TBD"/>
    <s v="Tidal Caloosahatchee"/>
    <n v="56"/>
    <s v="Not provided"/>
    <s v="Not provided"/>
    <s v="Florida Legislature"/>
    <s v="Not provided"/>
    <s v="N/A"/>
    <s v="N/A"/>
    <s v="26.689021"/>
    <s v="-81.79037"/>
    <s v="N/A"/>
    <m/>
    <s v="Structural"/>
    <s v="Completed"/>
    <n v="2012"/>
    <n v="132.77545024"/>
    <s v="N/A"/>
    <m/>
  </r>
  <r>
    <s v="CALO"/>
    <n v="2280"/>
    <x v="13"/>
    <s v="N/A"/>
    <s v="FDOT-08"/>
    <s v="Ditch Blocked Swales"/>
    <s v="Swales with ditch blocks. Facility ID = 12020-3541-01."/>
    <s v="Grass Swales with Swale Blocks or Raised Culverts"/>
    <x v="1"/>
    <s v="1989"/>
    <s v="Prior to 2012"/>
    <n v="179.13084608075329"/>
    <s v="TBD"/>
    <s v="Tidal Caloosahatchee"/>
    <n v="55"/>
    <s v="Not provided"/>
    <s v="Not provided"/>
    <s v="Florida Legislature"/>
    <s v="Not provided"/>
    <s v="N/A"/>
    <s v="N/A"/>
    <s v="26.710181"/>
    <s v="-81.719172"/>
    <s v="N/A"/>
    <m/>
    <s v="Structural"/>
    <s v="Completed"/>
    <n v="2012"/>
    <n v="87.284708559999999"/>
    <s v="N/A"/>
    <m/>
  </r>
  <r>
    <s v="CALO"/>
    <n v="2281"/>
    <x v="13"/>
    <s v="N/A"/>
    <s v="FDOT-09"/>
    <s v="Ditch Blocked Swales"/>
    <s v="Swales with ditch blocks."/>
    <s v="Grass Swales with Swale Blocks or Raised Culverts"/>
    <x v="1"/>
    <s v="N/A"/>
    <s v="Prior to 2012"/>
    <n v="318.14384642467121"/>
    <s v="TBD"/>
    <s v="Tidal Caloosahatchee"/>
    <n v="55"/>
    <s v="Not provided"/>
    <s v="Not provided"/>
    <s v="Florida Legislature"/>
    <s v="Not provided"/>
    <s v="N/A"/>
    <s v="N/A"/>
    <s v="Not provided"/>
    <s v="Not provided"/>
    <s v="N/A"/>
    <m/>
    <s v="Structural"/>
    <m/>
    <n v="2012"/>
    <n v="154.61136912000001"/>
    <s v="N/A"/>
    <m/>
  </r>
  <r>
    <s v="CALO"/>
    <n v="2303"/>
    <x v="13"/>
    <s v="N/A"/>
    <s v="FDOT-10"/>
    <s v="Swales without Ditch Blocks"/>
    <s v="Swales without blocks."/>
    <s v="Grass Swales without Swale Blocks or Raised Culverts"/>
    <x v="1"/>
    <s v="N/A"/>
    <s v="Prior to 2012"/>
    <n v="4617.2841523627503"/>
    <s v="TBD"/>
    <s v="Tidal Caloosahatchee"/>
    <n v="1353"/>
    <s v="Not provided"/>
    <s v="Not provided"/>
    <s v="Florida Legislature"/>
    <s v="Not provided"/>
    <s v="N/A"/>
    <s v="N/A"/>
    <s v="Not provided"/>
    <s v="Not provided"/>
    <s v="N/A"/>
    <m/>
    <s v="Structural"/>
    <m/>
    <n v="2012"/>
    <n v="2244.8268079999998"/>
    <s v="N/A"/>
    <m/>
  </r>
  <r>
    <s v="CALO"/>
    <n v="2317"/>
    <x v="13"/>
    <s v="N/A"/>
    <s v="FDOT-11"/>
    <s v="Existing Stormwater Wet Ponds"/>
    <s v="F12001-3516-01."/>
    <s v="Wet Detention Pond"/>
    <x v="1"/>
    <s v="1995"/>
    <s v="Prior to 2012"/>
    <n v="224.84653075761219"/>
    <s v="TBD"/>
    <s v="Tidal Caloosahatchee"/>
    <n v="14.090909090909092"/>
    <s v="Not provided"/>
    <s v="Not provided"/>
    <s v="Florida Legislature"/>
    <s v="Not provided"/>
    <s v="N/A"/>
    <s v="N/A"/>
    <s v="26.671697717"/>
    <s v="-81.880446505"/>
    <s v="N/A"/>
    <m/>
    <s v="Structural"/>
    <m/>
    <n v="2012"/>
    <n v="9.919044892561983"/>
    <s v="N/A"/>
    <m/>
  </r>
  <r>
    <s v="CALO"/>
    <n v="2305"/>
    <x v="13"/>
    <s v="N/A"/>
    <s v="FDOT-12"/>
    <s v="Existing Stormwater Wet Ponds"/>
    <s v="F12001-3516-02."/>
    <s v="Wet Detention Pond"/>
    <x v="1"/>
    <s v="1995"/>
    <s v="Prior to 2012"/>
    <n v="224.84653075761219"/>
    <s v="TBD"/>
    <s v="Tidal Caloosahatchee"/>
    <n v="14.090909090909092"/>
    <s v="Not provided"/>
    <s v="Not provided"/>
    <s v="Florida Legislature"/>
    <s v="Not provided"/>
    <s v="N/A"/>
    <s v="N/A"/>
    <s v="26.673893199"/>
    <s v="-81.881785059"/>
    <s v="N/A"/>
    <m/>
    <s v="Structural"/>
    <m/>
    <n v="2012"/>
    <n v="9.919044892561983"/>
    <s v="N/A"/>
    <m/>
  </r>
  <r>
    <s v="CALO"/>
    <n v="2294"/>
    <x v="13"/>
    <s v="N/A"/>
    <s v="FDOT-13"/>
    <s v="Existing Stormwater Wet Ponds"/>
    <s v="F12040-3514-01."/>
    <s v="Wet Detention Pond"/>
    <x v="1"/>
    <s v="2002"/>
    <s v="Prior to 2012"/>
    <n v="224.84653075761219"/>
    <s v="TBD"/>
    <s v="Tidal Caloosahatchee"/>
    <n v="14.090909090909092"/>
    <s v="Not provided"/>
    <s v="Not provided"/>
    <s v="Florida Legislature"/>
    <s v="Not provided"/>
    <s v="N/A"/>
    <s v="N/A"/>
    <s v="26.543035991"/>
    <s v="-81.915922688"/>
    <s v="N/A"/>
    <m/>
    <s v="Structural"/>
    <m/>
    <n v="2012"/>
    <n v="9.919044892561983"/>
    <s v="N/A"/>
    <m/>
  </r>
  <r>
    <s v="CALO"/>
    <n v="2307"/>
    <x v="13"/>
    <s v="N/A"/>
    <s v="FDOT-14"/>
    <s v="Existing Stormwater Wet Ponds"/>
    <s v="F12040-3515-01."/>
    <s v="Wet Detention Pond"/>
    <x v="1"/>
    <s v="2002"/>
    <s v="Prior to 2012"/>
    <n v="224.84653075761219"/>
    <s v="TBD"/>
    <s v="Tidal Caloosahatchee"/>
    <n v="14.090909090909092"/>
    <s v="Not provided"/>
    <s v="Not provided"/>
    <s v="Florida Legislature"/>
    <s v="Not provided"/>
    <s v="N/A"/>
    <s v="N/A"/>
    <s v="26.51771946"/>
    <s v="-81.939988489"/>
    <s v="N/A"/>
    <m/>
    <s v="Structural"/>
    <m/>
    <n v="2012"/>
    <n v="9.919044892561983"/>
    <s v="N/A"/>
    <m/>
  </r>
  <r>
    <s v="CALO"/>
    <n v="2308"/>
    <x v="13"/>
    <s v="N/A"/>
    <s v="FDOT-15"/>
    <s v="Existing Stormwater Wet Ponds"/>
    <s v="F12040-3515-02."/>
    <s v="Wet Detention Pond"/>
    <x v="1"/>
    <s v="2002"/>
    <s v="Prior to 2012"/>
    <n v="224.84653075761219"/>
    <s v="TBD"/>
    <s v="Tidal Caloosahatchee"/>
    <n v="14.090909090909092"/>
    <s v="Not provided"/>
    <s v="Not provided"/>
    <s v="Florida Legislature"/>
    <s v="Not provided"/>
    <s v="N/A"/>
    <s v="N/A"/>
    <s v="26.525744062"/>
    <s v="-81.935121139"/>
    <s v="N/A"/>
    <m/>
    <s v="Structural"/>
    <m/>
    <n v="2012"/>
    <n v="9.919044892561983"/>
    <s v="N/A"/>
    <m/>
  </r>
  <r>
    <s v="CALO"/>
    <n v="2309"/>
    <x v="13"/>
    <s v="N/A"/>
    <s v="FDOT-16"/>
    <s v="Existing Stormwater Wet Ponds"/>
    <s v="F12040-3515-03."/>
    <s v="Wet Detention Pond"/>
    <x v="1"/>
    <s v="2002"/>
    <s v="Prior to 2012"/>
    <n v="224.84653075761219"/>
    <s v="TBD"/>
    <s v="Tidal Caloosahatchee"/>
    <n v="14.090909090909092"/>
    <s v="Not provided"/>
    <s v="Not provided"/>
    <s v="Florida Legislature"/>
    <s v="Not provided"/>
    <s v="N/A"/>
    <s v="N/A"/>
    <s v="26.536900395"/>
    <s v="-81.920548275"/>
    <s v="N/A"/>
    <m/>
    <s v="Structural"/>
    <m/>
    <n v="2012"/>
    <n v="9.919044892561983"/>
    <s v="N/A"/>
    <m/>
  </r>
  <r>
    <s v="CALO"/>
    <n v="2310"/>
    <x v="13"/>
    <s v="N/A"/>
    <s v="FDOT-17"/>
    <s v="Existing Stormwater Wet Ponds"/>
    <s v="F12040-3515-04."/>
    <s v="Wet Detention Pond"/>
    <x v="1"/>
    <s v="2002"/>
    <s v="Prior to 2012"/>
    <n v="224.84653075761219"/>
    <s v="TBD"/>
    <s v="Tidal Caloosahatchee"/>
    <n v="14.090909090909092"/>
    <s v="Not provided"/>
    <s v="Not provided"/>
    <s v="Florida Legislature"/>
    <s v="Not provided"/>
    <s v="N/A"/>
    <s v="N/A"/>
    <s v="26.539337527"/>
    <s v="-81.917593338"/>
    <s v="N/A"/>
    <m/>
    <s v="Structural"/>
    <m/>
    <n v="2012"/>
    <n v="9.919044892561983"/>
    <s v="N/A"/>
    <m/>
  </r>
  <r>
    <s v="CALO"/>
    <n v="2311"/>
    <x v="13"/>
    <s v="N/A"/>
    <s v="FDOT-18"/>
    <s v="Existing Stormwater Wet Ponds"/>
    <s v="F12060-3530-03."/>
    <s v="Wet Detention Pond"/>
    <x v="1"/>
    <s v="1996"/>
    <s v="Prior to 2012"/>
    <n v="224.84653075761219"/>
    <s v="TBD"/>
    <s v="Tidal Caloosahatchee"/>
    <n v="14.090909090909092"/>
    <s v="Not provided"/>
    <s v="Not provided"/>
    <s v="Florida Legislature"/>
    <s v="Not provided"/>
    <s v="N/A"/>
    <s v="N/A"/>
    <s v="26.681556331"/>
    <s v="-81.89677626"/>
    <s v="N/A"/>
    <m/>
    <s v="Structural"/>
    <m/>
    <n v="2012"/>
    <n v="9.919044892561983"/>
    <s v="N/A"/>
    <m/>
  </r>
  <r>
    <s v="CALO"/>
    <n v="2312"/>
    <x v="13"/>
    <s v="N/A"/>
    <s v="FDOT-19"/>
    <s v="Existing Stormwater Wet Ponds"/>
    <s v="F12060-3533-01."/>
    <s v="Wet Detention Pond"/>
    <x v="1"/>
    <s v="2002"/>
    <s v="Prior to 2012"/>
    <n v="224.84653075761219"/>
    <s v="TBD"/>
    <s v="Tidal Caloosahatchee"/>
    <n v="14.090909090909092"/>
    <s v="Not provided"/>
    <s v="Not provided"/>
    <s v="Florida Legislature"/>
    <s v="Not provided"/>
    <s v="N/A"/>
    <s v="N/A"/>
    <s v="26.689441001"/>
    <s v="-81.860182259"/>
    <s v="N/A"/>
    <m/>
    <s v="Structural"/>
    <m/>
    <n v="2012"/>
    <n v="9.919044892561983"/>
    <s v="N/A"/>
    <m/>
  </r>
  <r>
    <s v="CALO"/>
    <n v="2313"/>
    <x v="13"/>
    <s v="N/A"/>
    <s v="FDOT-20"/>
    <s v="Existing Stormwater Wet Ponds"/>
    <s v="F12060-3533-02."/>
    <s v="Wet Detention Pond"/>
    <x v="1"/>
    <s v="2002"/>
    <s v="Prior to 2012"/>
    <n v="224.84653075761219"/>
    <s v="TBD"/>
    <s v="Tidal Caloosahatchee"/>
    <n v="14.090909090909092"/>
    <s v="Not provided"/>
    <s v="Not provided"/>
    <s v="Florida Legislature"/>
    <s v="Not provided"/>
    <s v="N/A"/>
    <s v="N/A"/>
    <s v="26.695392184"/>
    <s v="-81.854999487"/>
    <s v="N/A"/>
    <m/>
    <s v="Structural"/>
    <m/>
    <n v="2012"/>
    <n v="9.919044892561983"/>
    <s v="N/A"/>
    <m/>
  </r>
  <r>
    <s v="CALO"/>
    <n v="2314"/>
    <x v="13"/>
    <s v="N/A"/>
    <s v="FDOT-21"/>
    <s v="Existing Stormwater Wet Ponds"/>
    <s v="F12060-3533-03."/>
    <s v="Wet Detention Pond"/>
    <x v="1"/>
    <s v="2002"/>
    <s v="Prior to 2012"/>
    <n v="224.84653075761219"/>
    <s v="TBD"/>
    <s v="Tidal Caloosahatchee"/>
    <n v="14.090909090909092"/>
    <s v="Not provided"/>
    <s v="Not provided"/>
    <s v="Florida Legislature"/>
    <s v="Not provided"/>
    <s v="N/A"/>
    <s v="N/A"/>
    <s v="26.697306872"/>
    <s v="-81.849894698"/>
    <s v="N/A"/>
    <m/>
    <s v="Structural"/>
    <m/>
    <n v="2012"/>
    <n v="9.919044892561983"/>
    <s v="N/A"/>
    <m/>
  </r>
  <r>
    <s v="CALO"/>
    <n v="2315"/>
    <x v="13"/>
    <s v="N/A"/>
    <s v="FDOT-22"/>
    <s v="State Road (SR) 78 Project"/>
    <s v="Wet detention pond. FM195705-1, Pond SMF 1A."/>
    <s v="Wet Detention Pond"/>
    <x v="1"/>
    <s v="2009"/>
    <s v="Prior to 2012"/>
    <n v="35.651003505985756"/>
    <n v="10.49469663351112"/>
    <s v="Tidal Caloosahatchee"/>
    <n v="20"/>
    <s v="Not provided"/>
    <s v="Not provided"/>
    <s v="Florida Legislature"/>
    <s v="Not provided"/>
    <s v="N/A"/>
    <s v="N/A"/>
    <s v="26.70133"/>
    <s v="-81.84677"/>
    <s v="N/A"/>
    <m/>
    <s v="Structural"/>
    <m/>
    <n v="2012"/>
    <n v="17.327214400000003"/>
    <s v="N/A"/>
    <m/>
  </r>
  <r>
    <s v="CALO"/>
    <n v="2316"/>
    <x v="13"/>
    <s v="N/A"/>
    <s v="FDOT-23"/>
    <s v="State Road (SR) 78 Project"/>
    <s v="Wet detention pond. FM195705-1, Pond SMF 1D."/>
    <s v="Wet Detention Pond"/>
    <x v="1"/>
    <s v="2009"/>
    <s v="Prior to 2012"/>
    <n v="43.810534831474435"/>
    <n v="12.055807936960472"/>
    <s v="Tidal Caloosahatchee"/>
    <n v="20"/>
    <s v="Not provided"/>
    <s v="Not provided"/>
    <s v="Florida Legislature"/>
    <s v="Not provided"/>
    <s v="N/A"/>
    <s v="N/A"/>
    <s v="26.70386944"/>
    <s v="-81.84722222"/>
    <s v="N/A"/>
    <m/>
    <s v="Structural"/>
    <m/>
    <n v="2012"/>
    <n v="21.318823999999999"/>
    <s v="N/A"/>
    <m/>
  </r>
  <r>
    <s v="CALO"/>
    <n v="2295"/>
    <x v="13"/>
    <s v="N/A"/>
    <s v="FDOT-24"/>
    <s v="State Road (SR) 78 Project"/>
    <s v="Wet detention pond. FM195705-1, Pond SMF 2B."/>
    <s v="Wet Detention Pond"/>
    <x v="1"/>
    <s v="2009"/>
    <s v="Prior to 2012"/>
    <n v="66.746317747412149"/>
    <n v="18.070019982309514"/>
    <s v="Tidal Caloosahatchee"/>
    <n v="20"/>
    <s v="Not provided"/>
    <s v="Not provided"/>
    <s v="Florida Legislature"/>
    <s v="Not provided"/>
    <s v="N/A"/>
    <s v="N/A"/>
    <s v="26.70881"/>
    <s v="-81.83728"/>
    <s v="N/A"/>
    <m/>
    <s v="Structural"/>
    <m/>
    <n v="2012"/>
    <n v="32.422756159999999"/>
    <s v="N/A"/>
    <m/>
  </r>
  <r>
    <s v="CALO"/>
    <n v="2359"/>
    <x v="13"/>
    <s v="N/A"/>
    <s v="FDOT-25"/>
    <s v="State Road (SR) 78 Project"/>
    <s v="Wet detention pond. FM195705-1, Pond SMF 4C."/>
    <s v="Wet Detention Pond"/>
    <x v="1"/>
    <s v="2009"/>
    <s v="Prior to 2012"/>
    <n v="100.52890256119154"/>
    <n v="27.222838529015942"/>
    <s v="Tidal Caloosahatchee"/>
    <n v="20"/>
    <s v="Not provided"/>
    <s v="Not provided"/>
    <s v="Florida Legislature"/>
    <s v="Not provided"/>
    <s v="N/A"/>
    <s v="N/A"/>
    <s v="26.71228"/>
    <s v="-81.82679"/>
    <s v="N/A"/>
    <m/>
    <s v="Structural"/>
    <m/>
    <n v="2012"/>
    <n v="48.829178800000001"/>
    <s v="N/A"/>
    <m/>
  </r>
  <r>
    <s v="CALO"/>
    <n v="4367"/>
    <x v="13"/>
    <s v="N/A"/>
    <s v="FDOT-26"/>
    <s v="SR 82 from Lee Blvd to Shawnee Road"/>
    <s v="Funding Partnership with LAMSID (formerly known as [fka] ECWCD) for SW Weirs Project."/>
    <s v="Control Structure"/>
    <x v="1"/>
    <s v="Not provided"/>
    <s v="2017"/>
    <s v="N/A"/>
    <s v="N/A"/>
    <s v="Tidal Caloosahatchee"/>
    <s v="Not provided"/>
    <s v="Not provided"/>
    <s v="Not provided"/>
    <s v="FDOT/ DEP/ LA-MSID"/>
    <s v="Not provided"/>
    <s v="N/A"/>
    <s v="N/A"/>
    <s v="26.58864573"/>
    <s v="-81.72949828"/>
    <s v="N/A"/>
    <m/>
    <s v="Structural"/>
    <s v="Completed"/>
    <n v="2018"/>
    <s v="Not provided"/>
    <s v="Not provided"/>
    <m/>
  </r>
  <r>
    <s v="CALO"/>
    <n v="4368"/>
    <x v="13"/>
    <s v="N/A"/>
    <s v="FDOT-27"/>
    <s v="SR 82 from Lee Blvd to Shawnee Road"/>
    <s v="Funding Partnership with LAMSID (fka ECWCD) for West Marsh Preserve."/>
    <s v="Stormwater Treatment Areas (STAs)"/>
    <x v="3"/>
    <s v="2017"/>
    <s v="2020"/>
    <s v="N/A"/>
    <s v="N/A"/>
    <s v="Tidal Caloosahatchee"/>
    <s v="Not provided"/>
    <s v="Not provided"/>
    <s v="Not provided"/>
    <s v="FDOT/ DEP/ LA-MSID"/>
    <s v="Not provided"/>
    <s v="N/A"/>
    <s v="N/A"/>
    <s v="26.5865146"/>
    <s v="-81.72469713"/>
    <s v="N/A"/>
    <m/>
    <s v="Structural"/>
    <s v="Underway"/>
    <n v="2018"/>
    <s v="Not provided"/>
    <s v="Not provided"/>
    <m/>
  </r>
  <r>
    <s v="CALO"/>
    <n v="4849"/>
    <x v="13"/>
    <s v="N/A"/>
    <s v="FDOT-28"/>
    <s v="SR 82 from Shawnee Rd to Alabama Road"/>
    <s v="Funding Partnership with LAMSID (fka ECWCD) for Moving Water South PH II, Hendry Canal Widening."/>
    <s v="Regional Stormwater Treatment"/>
    <x v="3"/>
    <s v="2018"/>
    <s v="2020"/>
    <s v="N/A"/>
    <s v="N/A"/>
    <s v="Tidal Caloosahatchee"/>
    <s v="Not provided"/>
    <s v="Not provided"/>
    <s v="Not provided"/>
    <s v="FDOT/ LA-MSID"/>
    <s v="Not provided"/>
    <s v="N/A"/>
    <s v="N/A"/>
    <s v="26.56417492"/>
    <s v="-81.67332949"/>
    <s v="N/A"/>
    <m/>
    <s v="Structural"/>
    <s v="Underway"/>
    <n v="2019"/>
    <s v="N/A"/>
    <s v="N/A"/>
    <m/>
  </r>
  <r>
    <s v="CALO"/>
    <n v="4850"/>
    <x v="13"/>
    <s v="N/A"/>
    <s v="FDOT-29"/>
    <s v="SR 80 from Dalton Lane to CR 833 (408286-5 &amp;-6)"/>
    <s v="Widening project provided extra nutrient removal in treatment ponds."/>
    <s v="Wet Detention Pond"/>
    <x v="1"/>
    <s v="2017"/>
    <s v="2020"/>
    <s v="TBD"/>
    <s v="TBD"/>
    <s v="West Caloosahatchee"/>
    <s v="Not provided"/>
    <s v="Not provided"/>
    <s v="Not provided"/>
    <s v="FDOT"/>
    <s v="Not provided"/>
    <s v="N/A"/>
    <s v="Not provided"/>
    <s v="26.7684705"/>
    <s v="-81.30636"/>
    <s v="N/A"/>
    <m/>
    <s v="Structural"/>
    <s v="Underway"/>
    <n v="2019"/>
    <s v="N/A"/>
    <s v="N/A"/>
    <m/>
  </r>
  <r>
    <s v="CALO"/>
    <n v="4851"/>
    <x v="13"/>
    <s v="N/A"/>
    <s v="FDOT-30"/>
    <s v="SR 82 from Gator Slough Lane to SR 29 (430849-1)"/>
    <s v="Widening project provided extra nutrient removal in treatment ponds."/>
    <s v="Wet Detention Pond"/>
    <x v="3"/>
    <s v="2019"/>
    <s v="2022"/>
    <s v="TBD"/>
    <s v="TBD"/>
    <s v="West Caloosahatchee"/>
    <s v="Not provided"/>
    <s v="Not provided"/>
    <s v="Not provided"/>
    <s v="FDOT"/>
    <s v="Not provided"/>
    <s v="N/A"/>
    <s v="N/A"/>
    <s v="26.49471"/>
    <s v="-81.465189"/>
    <s v="N/A"/>
    <m/>
    <s v="Structural"/>
    <s v="Underway"/>
    <n v="2019"/>
    <s v="N/A"/>
    <s v="N/A"/>
    <m/>
  </r>
  <r>
    <s v="CALO"/>
    <n v="5202"/>
    <x v="13"/>
    <s v="Lee County"/>
    <s v="FDOT-31"/>
    <s v="Six Mile Cypress Preserve North Hydrologic Restoration project"/>
    <s v="Hydrologic restoration project."/>
    <s v="Hydrologic Restoration"/>
    <x v="1"/>
    <s v="Not provided"/>
    <s v="2005"/>
    <n v="718.12984314480002"/>
    <n v="134.12577845138"/>
    <s v="Tidal Caloosahatchee"/>
    <n v="114.3"/>
    <n v="1799539"/>
    <n v="70260"/>
    <s v="County/ SFWMD/ FDOT"/>
    <s v="$567,500"/>
    <s v="N/A"/>
    <s v="Not provided"/>
    <s v="26.6350564"/>
    <s v="-81.77009798"/>
    <s v="N/A"/>
    <m/>
    <s v="Structural"/>
    <m/>
    <n v="2019"/>
    <s v="N/A"/>
    <s v="N/A"/>
    <n v="5"/>
  </r>
  <r>
    <s v="CALO"/>
    <n v="5203"/>
    <x v="14"/>
    <s v="DEP/ FDACS"/>
    <s v="FH-01"/>
    <s v="Public Education and Outreach"/>
    <s v="Updates on BMAP and requirements during annual landowner meetings."/>
    <s v="Education Efforts"/>
    <x v="0"/>
    <s v="2020"/>
    <s v="N/A"/>
    <s v="N/A"/>
    <s v="N/A"/>
    <s v="East Caloosahatchee"/>
    <s v="N/A"/>
    <n v="500"/>
    <s v="N/A"/>
    <s v="Flaghole Drainage District"/>
    <s v="$500"/>
    <s v="N/A"/>
    <s v="N/A"/>
    <s v="26.709992"/>
    <s v="-81.049956"/>
    <s v="N/A"/>
    <m/>
    <s v="Non-structural"/>
    <m/>
    <n v="2019"/>
    <s v="N/A"/>
    <s v="N/A"/>
    <m/>
  </r>
  <r>
    <s v="CALO"/>
    <n v="5204"/>
    <x v="14"/>
    <s v="FDACS"/>
    <s v="FH-02"/>
    <s v="FDACS BMP Assistance"/>
    <s v="Provide assistance to FDACS, as needed, to encourage landowners to enroll in BMPs."/>
    <s v="Agricultural BMPs"/>
    <x v="0"/>
    <s v="2020"/>
    <s v="N/A"/>
    <s v="N/A"/>
    <s v="N/A"/>
    <s v="East Caloosahatchee"/>
    <s v="N/A"/>
    <n v="1000"/>
    <s v="N/A"/>
    <s v="Flaghole Drainage District"/>
    <s v="$1,000"/>
    <s v="N/A"/>
    <s v="N/A"/>
    <s v="26.709992"/>
    <s v="-81.049956"/>
    <s v="N/A"/>
    <m/>
    <s v="Non-structural"/>
    <m/>
    <n v="2019"/>
    <s v="N/A"/>
    <s v="N/A"/>
    <m/>
  </r>
  <r>
    <s v="CALO"/>
    <n v="5205"/>
    <x v="14"/>
    <s v="N/A"/>
    <s v="FH-03"/>
    <s v="Nutrient Controls"/>
    <s v="No application of fertilizer in district's rights-of-way."/>
    <s v="Fertilizer Cessation"/>
    <x v="1"/>
    <s v="2020"/>
    <s v="2020"/>
    <s v="N/A"/>
    <s v="N/A"/>
    <s v="East Caloosahatchee"/>
    <s v="N/A"/>
    <n v="0"/>
    <s v="N/A"/>
    <s v="Flaghole Drainage District"/>
    <s v="N/A"/>
    <s v="N/A"/>
    <s v="N/A"/>
    <s v="26.724083"/>
    <s v="-81.078433"/>
    <s v="N/A"/>
    <m/>
    <s v="Non-structural"/>
    <m/>
    <n v="2019"/>
    <s v="N/A"/>
    <s v="N/A"/>
    <m/>
  </r>
  <r>
    <s v="CALO"/>
    <n v="5206"/>
    <x v="14"/>
    <s v="N/A"/>
    <s v="FH-04"/>
    <s v="Slow Velocity in the Main Canal"/>
    <s v="Minimize sediment transport by slowing the velocity in main canal near main discharge structure."/>
    <s v="Control Structure"/>
    <x v="0"/>
    <s v="2021"/>
    <s v="TBD"/>
    <s v="N/A"/>
    <s v="N/A"/>
    <s v="East Caloosahatchee"/>
    <s v="N/A"/>
    <n v="15000"/>
    <s v="N/A"/>
    <s v="Flaghole Drainage District"/>
    <s v="$15,000"/>
    <s v="N/A"/>
    <s v="N/A"/>
    <s v="26.724083"/>
    <s v="-81.078433"/>
    <s v="N/A"/>
    <m/>
    <s v="Structural"/>
    <m/>
    <n v="2019"/>
    <s v="N/A"/>
    <s v="N/A"/>
    <m/>
  </r>
  <r>
    <s v="CALO"/>
    <n v="5207"/>
    <x v="14"/>
    <s v="N/A"/>
    <s v="FH-05"/>
    <s v="Control Structures"/>
    <s v="Annual maintenance of water control structures."/>
    <s v="Control Structure"/>
    <x v="2"/>
    <s v="2021"/>
    <s v="N/A"/>
    <s v="N/A"/>
    <s v="N/A"/>
    <s v="East Caloosahatchee"/>
    <s v="N/A"/>
    <n v="20000"/>
    <s v="N/A"/>
    <s v="Flaghole Drainage District"/>
    <s v="$20,000"/>
    <s v="N/A"/>
    <s v="N/A"/>
    <s v="26.76935"/>
    <s v="-81.114064"/>
    <s v="N/A"/>
    <m/>
    <s v="Structural"/>
    <m/>
    <n v="2019"/>
    <s v="N/A"/>
    <s v="N/A"/>
    <m/>
  </r>
  <r>
    <s v="CALO"/>
    <n v="2367"/>
    <x v="15"/>
    <s v="Not provided"/>
    <s v="FM-01"/>
    <s v="Country Club Neighborhood Exfiltration Trenches"/>
    <s v="Exfiltration trenches."/>
    <s v="Exfiltration Trench"/>
    <x v="1"/>
    <s v="Not provided"/>
    <s v="Prior to 2012"/>
    <n v="213.73085669413214"/>
    <n v="26.776340056296988"/>
    <s v="Tidal Caloosahatchee"/>
    <n v="124.6"/>
    <s v="Not provided"/>
    <s v="Not provided"/>
    <s v="Not provided"/>
    <s v="Not provided"/>
    <s v="N/A"/>
    <s v="Not provided"/>
    <s v="26.61183763"/>
    <s v="-81.8790337"/>
    <s v="N/A"/>
    <m/>
    <s v="Structural"/>
    <s v="Completed"/>
    <n v="2012"/>
    <n v="379.20291199999997"/>
    <s v="N/A"/>
    <m/>
  </r>
  <r>
    <s v="CALO"/>
    <n v="2368"/>
    <x v="15"/>
    <s v="Not provided"/>
    <s v="FM-02"/>
    <s v="Education Efforts"/>
    <s v="FYN, fertilizer ordinance, pamphlets, PSAs, website, illicit discharge program."/>
    <s v="Education Efforts"/>
    <x v="2"/>
    <s v="Not provided"/>
    <s v="N/A"/>
    <n v="4652.174979774828"/>
    <n v="1630.402357841793"/>
    <s v="Tidal Caloosahatchee"/>
    <s v="N/A"/>
    <s v="Not provided"/>
    <s v="Not provided"/>
    <s v="Not provided"/>
    <s v="Not provided"/>
    <s v="N/A"/>
    <s v="Not provided"/>
    <s v="Not provided"/>
    <s v="Not provided"/>
    <s v="N/A"/>
    <m/>
    <s v="Non-structural"/>
    <s v="Ongoing"/>
    <n v="2012"/>
    <n v="952.99679200000003"/>
    <s v="N/A"/>
    <m/>
  </r>
  <r>
    <s v="CALO"/>
    <n v="2369"/>
    <x v="15"/>
    <s v="Not provided"/>
    <s v="FM-03"/>
    <s v="Winkler Avenue Utility and Streetscape Improvements"/>
    <s v="Installation of StormceptorsTM."/>
    <s v="Hydrodynamic Separators"/>
    <x v="1"/>
    <s v="Not provided"/>
    <s v="Prior to 2012"/>
    <s v="TBD"/>
    <s v="TBD"/>
    <s v="Tidal Caloosahatchee"/>
    <n v="117.9"/>
    <s v="Not provided"/>
    <s v="Not provided"/>
    <s v="Not provided"/>
    <s v="Not provided"/>
    <s v="N/A"/>
    <s v="Not provided"/>
    <s v="26.545427"/>
    <s v="-81.898644"/>
    <s v="N/A"/>
    <m/>
    <s v="Structural"/>
    <s v="Completed"/>
    <n v="2012"/>
    <n v="18.14368"/>
    <s v="N/A"/>
    <m/>
  </r>
  <r>
    <s v="CALO"/>
    <n v="2370"/>
    <x v="15"/>
    <s v="Not provided"/>
    <s v="FM-04"/>
    <s v="Manuel's Branch Siltation Structures"/>
    <s v="Installation of siltation structure designed to receive incoming flow, reduce its velocity and allow for settling of suspended particles. Called sediment trap (near control structure)."/>
    <s v="Control Structure"/>
    <x v="1"/>
    <s v="Not provided"/>
    <s v="Prior to 2012"/>
    <n v="485.94195997010848"/>
    <n v="77.728824044765787"/>
    <s v="Tidal Caloosahatchee"/>
    <n v="642.70000000000005"/>
    <s v="Not provided"/>
    <s v="Not provided"/>
    <s v="Not provided"/>
    <s v="Not provided"/>
    <s v="N/A"/>
    <s v="Not provided"/>
    <s v="26.62706819"/>
    <s v="-81.87986865"/>
    <s v="N/A"/>
    <m/>
    <s v="Structural"/>
    <s v="Completed"/>
    <n v="2012"/>
    <n v="488.97217599999999"/>
    <s v="N/A"/>
    <m/>
  </r>
  <r>
    <s v="CALO"/>
    <n v="2371"/>
    <x v="15"/>
    <s v="Not provided"/>
    <s v="FM-05"/>
    <s v="Manuel's Branch Control Structures"/>
    <s v="Series of two weirs constructed along Manuel's Branch between Royal Palm Avenue and Grand Avenue that act as detention structures for purpose of increasing storage and attenuation in canal."/>
    <s v="Control Structure"/>
    <x v="1"/>
    <s v="Not provided"/>
    <s v="Prior to 2012"/>
    <n v="981.2364943613585"/>
    <n v="310.58469773282712"/>
    <s v="Tidal Caloosahatchee"/>
    <n v="437.9"/>
    <s v="Not provided"/>
    <s v="Not provided"/>
    <s v="Not provided"/>
    <s v="Not provided"/>
    <s v="N/A"/>
    <s v="Not provided"/>
    <s v="26.62617409"/>
    <s v="-81.87024539"/>
    <s v="N/A"/>
    <m/>
    <s v="Structural"/>
    <s v="Completed"/>
    <n v="2012"/>
    <n v="998.80958399999997"/>
    <s v="N/A"/>
    <m/>
  </r>
  <r>
    <s v="CALO"/>
    <n v="2372"/>
    <x v="15"/>
    <s v="Not provided"/>
    <s v="FM-06"/>
    <s v="Billy's Creek Wetland"/>
    <s v="Filter marsh park."/>
    <s v="Constructed Wetland Treatment"/>
    <x v="1"/>
    <s v="Not provided"/>
    <s v="Prior to 2012"/>
    <n v="1421"/>
    <n v="1211"/>
    <s v="Tidal Caloosahatchee"/>
    <n v="1631.6"/>
    <s v="Not provided"/>
    <s v="Not provided"/>
    <s v="Not provided"/>
    <s v="Not provided"/>
    <s v="N/A"/>
    <s v="Not provided"/>
    <s v="26.66128544"/>
    <s v="-81.82479508"/>
    <s v="N/A"/>
    <m/>
    <s v="Structural"/>
    <s v="Completed"/>
    <n v="2012"/>
    <n v="1825.7077999999999"/>
    <s v="N/A"/>
    <m/>
  </r>
  <r>
    <s v="CALO"/>
    <n v="2373"/>
    <x v="15"/>
    <s v="Not provided"/>
    <s v="FM-07"/>
    <s v="Brookhill Drive Utility Drainage Improvement"/>
    <s v="Installation of 2 Nutrient Baffle Boxes in parallel along Brookhill Dr."/>
    <s v="Baffle Boxes- Second Generation with Media"/>
    <x v="1"/>
    <s v="Not provided"/>
    <s v="2013"/>
    <n v="36.408610440713289"/>
    <n v="3.6839592547341176"/>
    <s v="Tidal Caloosahatchee"/>
    <n v="28"/>
    <s v="Not provided"/>
    <s v="Not provided"/>
    <s v="Not provided"/>
    <s v="Not provided"/>
    <s v="N/A"/>
    <s v="Not provided"/>
    <s v="26.6507609"/>
    <s v="-81.84290721"/>
    <s v="N/A"/>
    <m/>
    <s v="Structural"/>
    <s v="Completed"/>
    <n v="2012"/>
    <n v="4.9895119999999995"/>
    <s v="N/A"/>
    <m/>
  </r>
  <r>
    <s v="CALO"/>
    <n v="2374"/>
    <x v="15"/>
    <s v="Not provided"/>
    <s v="FM-08"/>
    <s v="Street Sweeping"/>
    <s v="All city roads with curb and gutter divided into four zones and swept at varying frequencies based on pollutant accumulation."/>
    <s v="Street Sweeping"/>
    <x v="2"/>
    <s v="Not provided"/>
    <s v="N/A"/>
    <n v="1851.3153696785869"/>
    <n v="1173.8445490668453"/>
    <s v="Tidal Caloosahatchee"/>
    <s v="N/A"/>
    <s v="Not provided"/>
    <s v="Not provided"/>
    <s v="Not provided"/>
    <s v="Not provided"/>
    <s v="N/A"/>
    <s v="Not provided"/>
    <s v="Not provided"/>
    <s v="Not provided"/>
    <s v="N/A"/>
    <m/>
    <s v="Non-structural"/>
    <s v="Ongoing"/>
    <n v="2012"/>
    <n v="1171.174544"/>
    <s v="N/A"/>
    <m/>
  </r>
  <r>
    <s v="CALO"/>
    <n v="2375"/>
    <x v="15"/>
    <s v="Not provided"/>
    <s v="FM-09"/>
    <s v="Ford Street Preserve"/>
    <s v="Constructed wetland treatment system that removes pollutants from Ford Street Canal, which serves 811 acres of highly urbanized watershed."/>
    <s v="Constructed Wetland Treatment"/>
    <x v="1"/>
    <s v="Not provided"/>
    <s v="2015"/>
    <n v="7916.409812016459"/>
    <n v="1411.9776663543594"/>
    <s v="Tidal Caloosahatchee"/>
    <n v="811"/>
    <s v="Not provided"/>
    <s v="Not provided"/>
    <s v="Not provided"/>
    <s v="Not provided"/>
    <s v="N/A"/>
    <s v="Not provided"/>
    <s v="26.65234132"/>
    <s v="-81.84658"/>
    <s v="N/A"/>
    <m/>
    <s v="Structural"/>
    <s v="Completed"/>
    <n v="2012"/>
    <n v="3308.046456"/>
    <s v="N/A"/>
    <m/>
  </r>
  <r>
    <s v="CALO"/>
    <n v="2376"/>
    <x v="15"/>
    <s v="Not provided"/>
    <s v="FM-10"/>
    <s v="Riverfront Development Phase 1"/>
    <s v="Retention pond."/>
    <s v="On-line Retention BMPs"/>
    <x v="1"/>
    <s v="Not provided"/>
    <s v="2013"/>
    <n v="37.402900438605002"/>
    <n v="9.9875885900680039"/>
    <s v="Tidal Caloosahatchee"/>
    <n v="15"/>
    <s v="Not provided"/>
    <s v="Not provided"/>
    <s v="Not provided"/>
    <s v="Not provided"/>
    <s v="N/A"/>
    <s v="Not provided"/>
    <s v="26.64589704"/>
    <s v="-81.87110337"/>
    <s v="N/A"/>
    <m/>
    <s v="Structural"/>
    <s v="Completed"/>
    <n v="2012"/>
    <n v="40.823279999999997"/>
    <s v="N/A"/>
    <m/>
  </r>
  <r>
    <s v="CALO"/>
    <n v="2388"/>
    <x v="15"/>
    <s v="Not provided"/>
    <s v="FM-11"/>
    <s v="Carrell Canal Water Quality Retrofit"/>
    <s v="Two detention areas, five filter marshes, and golf course renovation."/>
    <s v="BMP Treatment Train"/>
    <x v="1"/>
    <s v="Not provided"/>
    <s v="2014"/>
    <n v="639.77533117310008"/>
    <n v="218.32377324732877"/>
    <s v="Tidal Caloosahatchee"/>
    <n v="848"/>
    <s v="Not provided"/>
    <s v="Not provided"/>
    <s v="Not provided"/>
    <s v="Not provided"/>
    <s v="N/A"/>
    <s v="Not provided"/>
    <s v="26.6109934"/>
    <s v="-81.87657736"/>
    <s v="N/A"/>
    <m/>
    <s v="Structural"/>
    <s v="Completed"/>
    <n v="2014"/>
    <n v="578.32979999999998"/>
    <s v="N/A"/>
    <m/>
  </r>
  <r>
    <s v="CALO"/>
    <n v="2378"/>
    <x v="15"/>
    <s v="Not provided"/>
    <s v="FM-12"/>
    <s v="Aquashores Neighborhood"/>
    <s v="Installation of two StormceptorsTM."/>
    <s v="Hydrodynamic Separators"/>
    <x v="1"/>
    <s v="Not provided"/>
    <s v="2016"/>
    <n v="0"/>
    <n v="0.72162417355154007"/>
    <s v="Tidal Caloosahatchee"/>
    <n v="9"/>
    <s v="Not provided"/>
    <s v="Not provided"/>
    <s v="Not provided"/>
    <s v="Not provided"/>
    <s v="N/A"/>
    <s v="Not provided"/>
    <s v="26.64986724"/>
    <s v="-81.84460589"/>
    <s v="N/A"/>
    <m/>
    <s v="Structural"/>
    <m/>
    <n v="2017"/>
    <s v="TBD"/>
    <s v="N/A"/>
    <m/>
  </r>
  <r>
    <s v="CALO"/>
    <n v="2366"/>
    <x v="15"/>
    <s v="Not provided"/>
    <s v="FM-13"/>
    <s v="Billy &amp; High Street Drainage Improvement"/>
    <s v="Neighborhood improvement project."/>
    <s v="BMP Treatment Train"/>
    <x v="3"/>
    <s v="Not provided"/>
    <s v="TBD"/>
    <s v="TBD"/>
    <s v="TBD"/>
    <s v="Tidal Caloosahatchee"/>
    <n v="9"/>
    <s v="Not provided"/>
    <s v="Not provided"/>
    <s v="Not provided"/>
    <s v="Not provided"/>
    <s v="N/A"/>
    <s v="Not provided"/>
    <s v="26.64674515"/>
    <s v="-81.85235455"/>
    <s v="N/A"/>
    <m/>
    <s v="Structural"/>
    <m/>
    <n v="2017"/>
    <s v="TBD"/>
    <s v="N/A"/>
    <m/>
  </r>
  <r>
    <s v="CALO"/>
    <n v="2379"/>
    <x v="15"/>
    <s v="Not provided"/>
    <s v="FM-14"/>
    <s v="Ridgewood Park Neighborhood Improvements"/>
    <s v="Neighborhood improvement projects to be done in phases."/>
    <s v="BMP Treatment Train"/>
    <x v="0"/>
    <s v="Not provided"/>
    <s v="TBD"/>
    <s v="TBD"/>
    <s v="TBD"/>
    <s v="Tidal Caloosahatchee"/>
    <n v="242"/>
    <s v="Not provided"/>
    <s v="Not provided"/>
    <s v="Not provided"/>
    <s v="Not provided"/>
    <s v="N/A"/>
    <s v="Not provided"/>
    <s v="26.66157464"/>
    <s v="-81.83297422"/>
    <s v="N/A"/>
    <m/>
    <s v="Structural"/>
    <m/>
    <n v="2017"/>
    <s v="TBD"/>
    <s v="N/A"/>
    <m/>
  </r>
  <r>
    <s v="CALO"/>
    <n v="2380"/>
    <x v="15"/>
    <s v="Not provided"/>
    <s v="FM-15"/>
    <s v="Midtown Redevelopment"/>
    <s v="Area improvements including water quality improvements."/>
    <s v="BMP Treatment Train"/>
    <x v="0"/>
    <s v="Not provided"/>
    <s v="TBD"/>
    <s v="TBD"/>
    <s v="TBD"/>
    <s v="Tidal Caloosahatchee"/>
    <n v="183"/>
    <s v="Not provided"/>
    <s v="Not provided"/>
    <s v="Not provided"/>
    <s v="Not provided"/>
    <s v="N/A"/>
    <s v="Not provided"/>
    <s v="26.63444746"/>
    <s v="-81.84316471"/>
    <s v="N/A"/>
    <m/>
    <s v="Structural"/>
    <m/>
    <n v="2017"/>
    <s v="TBD"/>
    <s v="N/A"/>
    <m/>
  </r>
  <r>
    <s v="CALO"/>
    <n v="2381"/>
    <x v="15"/>
    <s v="Not provided"/>
    <s v="FM-16"/>
    <s v="Edgewood Neighborhood Improvements"/>
    <s v="Neighborhood improvement projects to be done in phases."/>
    <s v="BMP Treatment Train"/>
    <x v="0"/>
    <s v="Not provided"/>
    <s v="TBD"/>
    <s v="TBD"/>
    <s v="TBD"/>
    <s v="Tidal Caloosahatchee"/>
    <n v="336"/>
    <s v="Not provided"/>
    <s v="Not provided"/>
    <s v="Not provided"/>
    <s v="Not provided"/>
    <s v="N/A"/>
    <s v="Not provided"/>
    <s v="26.66456608"/>
    <s v="-81.83771637"/>
    <s v="N/A"/>
    <m/>
    <s v="Structural"/>
    <m/>
    <n v="2017"/>
    <s v="TBD"/>
    <s v="N/A"/>
    <m/>
  </r>
  <r>
    <s v="CALO"/>
    <n v="4852"/>
    <x v="16"/>
    <s v="N/A"/>
    <s v="GC-01"/>
    <s v="Education and Outreach"/>
    <s v="FYN; landscaping, irrigation, and fertilizer ordinances; PSAs, pamphlets, website, and illicit discharge program."/>
    <s v="Education Efforts"/>
    <x v="1"/>
    <s v="2014"/>
    <s v="2015"/>
    <n v="1564.0296893829764"/>
    <n v="299.09398854493202"/>
    <s v="West Caloosahatchee; East Caloosahatchee"/>
    <s v="N/A"/>
    <s v="Not provided"/>
    <n v="5500"/>
    <s v="Glades County"/>
    <s v="N/A"/>
    <s v="N/A"/>
    <s v="N/A"/>
    <s v="26.864781"/>
    <s v="-81.287188"/>
    <s v="N/A"/>
    <m/>
    <s v="Non-structural"/>
    <s v="Completed"/>
    <n v="2019"/>
    <s v="N/A"/>
    <s v="N/A"/>
    <m/>
  </r>
  <r>
    <s v="CALO"/>
    <n v="4853"/>
    <x v="16"/>
    <s v="N/A"/>
    <s v="GC-02"/>
    <s v="Glades County Caloosahatchee River &amp; Estuary Area Wastewater Grant"/>
    <s v="Elimination of aging and/or failing existing septic systems in the City of Moore Haven. The Project also provides for additional conveyance capacity for additional homes and businesses."/>
    <s v="OSTDS Phase Out"/>
    <x v="3"/>
    <s v="2018"/>
    <s v="2021"/>
    <n v="1252.7"/>
    <s v="N/A"/>
    <s v="East Caloosahatchee"/>
    <s v="TBD"/>
    <n v="891848"/>
    <n v="12240"/>
    <s v="DEP"/>
    <s v="$891,848"/>
    <s v="LP22023"/>
    <s v="N/A"/>
    <s v="26.8283"/>
    <s v="-81.0969"/>
    <s v="DEP grant"/>
    <m/>
    <s v="Structural"/>
    <s v="Planned"/>
    <n v="2019"/>
    <s v="N/A"/>
    <s v="N/A"/>
    <n v="1"/>
  </r>
  <r>
    <s v="CALO"/>
    <n v="4854"/>
    <x v="16"/>
    <s v="N/A"/>
    <s v="GC-03"/>
    <s v="Glades County Business Park Wetlands"/>
    <s v="Wetland maintenance and planting agreement."/>
    <s v="Constructed Wetland Treatment"/>
    <x v="3"/>
    <s v="2019"/>
    <s v="2021"/>
    <s v="TBD"/>
    <s v="TBD"/>
    <s v="Upstream of Estuary BMAP"/>
    <n v="9"/>
    <n v="42395"/>
    <n v="21198"/>
    <s v="Glades County"/>
    <s v="$42,395"/>
    <s v="N/A"/>
    <s v="N/A"/>
    <s v="26.835517"/>
    <s v="-81.124969"/>
    <s v="N/A"/>
    <m/>
    <s v="Structural"/>
    <s v="Underway"/>
    <n v="2019"/>
    <s v="N/A"/>
    <s v="N/A"/>
    <m/>
  </r>
  <r>
    <s v="CALO"/>
    <n v="5208"/>
    <x v="17"/>
    <s v="DEP/ FDACS"/>
    <s v="GG-01"/>
    <s v="Public Education and Outreach"/>
    <s v="Updates on BMAP and requirements during annual landowner meetings."/>
    <s v="Education Efforts"/>
    <x v="0"/>
    <s v="2020"/>
    <s v="N/A"/>
    <s v="N/A"/>
    <s v="N/A"/>
    <s v="West Caloosahatchee"/>
    <s v="N/A"/>
    <n v="500"/>
    <s v="N/A"/>
    <s v="Gerber Groves WCD"/>
    <s v="$500"/>
    <s v="N/A"/>
    <s v="N/A"/>
    <s v="26.677781"/>
    <s v="-81.342258"/>
    <s v="N/A"/>
    <m/>
    <s v="Non-structural"/>
    <m/>
    <n v="2019"/>
    <s v="N/A"/>
    <s v="N/A"/>
    <m/>
  </r>
  <r>
    <s v="CALO"/>
    <n v="5209"/>
    <x v="17"/>
    <s v="FDACS"/>
    <s v="GG-02"/>
    <s v="FDACS BMP Assistance"/>
    <s v="Provide assistance to FDACS, as needed, to encourage landowners to enroll in BMPs."/>
    <s v="Agricultural BMPs"/>
    <x v="0"/>
    <s v="2020"/>
    <s v="N/A"/>
    <s v="N/A"/>
    <s v="N/A"/>
    <s v="West Caloosahatchee"/>
    <s v="N/A"/>
    <n v="1000"/>
    <s v="N/A"/>
    <s v="Gerber Groves WCD"/>
    <s v="$1,000"/>
    <s v="N/A"/>
    <s v="N/A"/>
    <s v="26.677781"/>
    <s v="-81.342258"/>
    <s v="N/A"/>
    <m/>
    <s v="Non-structural"/>
    <m/>
    <n v="2019"/>
    <s v="N/A"/>
    <s v="N/A"/>
    <m/>
  </r>
  <r>
    <s v="CALO"/>
    <n v="5210"/>
    <x v="17"/>
    <s v="N/A"/>
    <s v="GG-03"/>
    <s v="Nutrient Controls"/>
    <s v="No application of fertilizer in district's rights-of-way."/>
    <s v="Fertilizer Cessation"/>
    <x v="1"/>
    <s v="2020"/>
    <s v="2020"/>
    <s v="N/A"/>
    <s v="N/A"/>
    <s v="West Caloosahatchee"/>
    <s v="N/A"/>
    <n v="0"/>
    <s v="N/A"/>
    <s v="Gerber Groves WCD"/>
    <s v="N/A"/>
    <s v="N/A"/>
    <s v="N/A"/>
    <s v="26.68239677"/>
    <s v="-81.34460814"/>
    <s v="N/A"/>
    <m/>
    <s v="Non-structural"/>
    <m/>
    <n v="2019"/>
    <s v="N/A"/>
    <s v="N/A"/>
    <m/>
  </r>
  <r>
    <s v="CALO"/>
    <n v="5211"/>
    <x v="17"/>
    <s v="N/A"/>
    <s v="GG-04"/>
    <s v="Canal/Ditch Bank Berms"/>
    <s v="Minimize sediment transport by constructing berms on top of canal/ditch banks and promoting vegetation cover."/>
    <s v="Shoreline Stabilization"/>
    <x v="0"/>
    <s v="2021"/>
    <s v="TBD"/>
    <s v="N/A"/>
    <s v="N/A"/>
    <s v="West Caloosahatchee"/>
    <s v="N/A"/>
    <n v="5000"/>
    <s v="N/A"/>
    <s v="Gerber Groves WCD"/>
    <s v="$5,000"/>
    <s v="N/A"/>
    <s v="N/A"/>
    <s v="26.68239677"/>
    <s v="-81.34460814"/>
    <s v="N/A"/>
    <m/>
    <s v="Structural"/>
    <m/>
    <n v="2019"/>
    <s v="N/A"/>
    <s v="N/A"/>
    <m/>
  </r>
  <r>
    <s v="CALO"/>
    <n v="5212"/>
    <x v="17"/>
    <s v="N/A"/>
    <s v="GG-05"/>
    <s v="Control Structures"/>
    <s v="Annual maintenance of water control structures."/>
    <s v="Control Structure"/>
    <x v="2"/>
    <s v="2021"/>
    <s v="N/A"/>
    <s v="N/A"/>
    <s v="N/A"/>
    <s v="West Caloosahatchee"/>
    <s v="N/A"/>
    <n v="5000"/>
    <s v="N/A"/>
    <s v="Gerber Groves WCD"/>
    <s v="$5,000"/>
    <s v="N/A"/>
    <s v="N/A"/>
    <s v="26.699728"/>
    <s v="-81.333053"/>
    <s v="N/A"/>
    <m/>
    <s v="Structural"/>
    <m/>
    <n v="2019"/>
    <s v="N/A"/>
    <s v="N/A"/>
    <m/>
  </r>
  <r>
    <s v="CALO"/>
    <n v="5213"/>
    <x v="18"/>
    <s v="DEP/ FDACS"/>
    <s v="HH-01"/>
    <s v="Public Education and Outreach"/>
    <s v="Updates on BMAP and requirements during annual landowner meetings."/>
    <s v="Education Efforts"/>
    <x v="0"/>
    <s v="2020"/>
    <s v="N/A"/>
    <s v="N/A"/>
    <s v="N/A"/>
    <s v="East Caloosahatchee"/>
    <s v="N/A"/>
    <n v="500"/>
    <s v="N/A"/>
    <s v="Hendry-Hilliard WCD"/>
    <s v="$500"/>
    <s v="N/A"/>
    <s v="N/A"/>
    <s v="26.733742"/>
    <s v="-81.1420.36"/>
    <s v="N/A"/>
    <m/>
    <s v="Non-structural"/>
    <m/>
    <n v="2019"/>
    <s v="N/A"/>
    <s v="N/A"/>
    <m/>
  </r>
  <r>
    <s v="CALO"/>
    <n v="5214"/>
    <x v="18"/>
    <s v="FDACS"/>
    <s v="HH-02"/>
    <s v="FDACS BMP Assistance"/>
    <s v="Provide assistance to FDACS, as needed, to encourage landowners to enroll in BMPs."/>
    <s v="Agricultural BMPs"/>
    <x v="0"/>
    <s v="2020"/>
    <s v="N/A"/>
    <s v="N/A"/>
    <s v="N/A"/>
    <s v="East Caloosahatchee"/>
    <s v="N/A"/>
    <n v="1000"/>
    <s v="N/A"/>
    <s v="Hendry-Hilliard WCD"/>
    <s v="$1,000"/>
    <s v="N/A"/>
    <s v="N/A"/>
    <s v="26.733742"/>
    <s v="-81.1420.36"/>
    <s v="N/A"/>
    <m/>
    <s v="Non-structural"/>
    <m/>
    <n v="2019"/>
    <s v="N/A"/>
    <s v="N/A"/>
    <m/>
  </r>
  <r>
    <s v="CALO"/>
    <n v="5215"/>
    <x v="18"/>
    <s v="N/A"/>
    <s v="HH-03"/>
    <s v="Nutrient Controls"/>
    <s v="No application of fertilizer in district's rights-of-way."/>
    <s v="Fertilizer Cessation"/>
    <x v="1"/>
    <s v="2020"/>
    <s v="2020"/>
    <s v="N/A"/>
    <s v="N/A"/>
    <s v="East Caloosahatchee"/>
    <s v="N/A"/>
    <n v="0"/>
    <s v="N/A"/>
    <s v="Hendry-Hilliard WCD"/>
    <s v="N/A"/>
    <s v="N/A"/>
    <s v="N/A"/>
    <s v="26.738786"/>
    <s v="-81.1556.17"/>
    <s v="N/A"/>
    <m/>
    <s v="Non-structural"/>
    <m/>
    <n v="2019"/>
    <s v="N/A"/>
    <s v="N/A"/>
    <m/>
  </r>
  <r>
    <s v="CALO"/>
    <n v="5216"/>
    <x v="18"/>
    <s v="N/A"/>
    <s v="HH-04"/>
    <s v="Slow Velocity in the Main Canal"/>
    <s v="Minimize sediment transport by slowing velocity in main canal near main discharge structure."/>
    <s v="Control Structure"/>
    <x v="0"/>
    <s v="2021"/>
    <s v="TBD"/>
    <s v="N/A"/>
    <s v="N/A"/>
    <s v="East Caloosahatchee"/>
    <s v="N/A"/>
    <n v="3500"/>
    <s v="N/A"/>
    <s v="Hendry-Hilliard WCD"/>
    <s v="$3,500"/>
    <s v="N/A"/>
    <s v="N/A"/>
    <s v="26.738786"/>
    <s v="-81.1556.17"/>
    <s v="N/A"/>
    <m/>
    <s v="Structural"/>
    <m/>
    <n v="2019"/>
    <s v="N/A"/>
    <s v="N/A"/>
    <m/>
  </r>
  <r>
    <s v="CALO"/>
    <n v="5217"/>
    <x v="18"/>
    <s v="N/A"/>
    <s v="HH-05"/>
    <s v="Control Structures"/>
    <s v="Annual maintenance of water control structures."/>
    <s v="Control Structure"/>
    <x v="2"/>
    <s v="2021"/>
    <s v="N/A"/>
    <s v="N/A"/>
    <s v="N/A"/>
    <s v="East Caloosahatchee"/>
    <s v="N/A"/>
    <n v="2000"/>
    <s v="N/A"/>
    <s v="Hendry-Hilliard WCD"/>
    <s v="$2,000"/>
    <s v="N/A"/>
    <s v="N/A"/>
    <s v="26.758478"/>
    <s v="-81.151114"/>
    <s v="N/A"/>
    <m/>
    <s v="Structural"/>
    <m/>
    <n v="2019"/>
    <s v="N/A"/>
    <s v="N/A"/>
    <m/>
  </r>
  <r>
    <s v="CALO"/>
    <n v="2382"/>
    <x v="19"/>
    <s v="Not provided"/>
    <s v="LA-01"/>
    <s v="Education/Pollution Prevention/Fertilizer"/>
    <s v="Pollution prevention and fertilizer education."/>
    <s v="Education Efforts"/>
    <x v="2"/>
    <s v="Not provided"/>
    <s v="N/A"/>
    <n v="1622.5190861155108"/>
    <n v="276.47363964071855"/>
    <s v="Tidal Caloosahatchee; West Caloosahatchee"/>
    <s v="N/A"/>
    <s v="Not provided"/>
    <s v="Not provided"/>
    <s v="Not provided"/>
    <s v="Not provided"/>
    <s v="N/A"/>
    <s v="Not provided"/>
    <s v="Not provided"/>
    <s v="Not provided"/>
    <s v="N/A"/>
    <m/>
    <s v="Non-structural"/>
    <s v="Ongoing"/>
    <n v="2012"/>
    <n v="746.61243200000001"/>
    <s v="N/A"/>
    <m/>
  </r>
  <r>
    <s v="CALO"/>
    <n v="2383"/>
    <x v="19"/>
    <s v="Not provided"/>
    <s v="LA-02"/>
    <s v="Freshwater Canal Detention"/>
    <s v="Regulation of freshwater canals through existing control structures."/>
    <s v="Control Structure"/>
    <x v="1"/>
    <s v="Not provided"/>
    <s v="Prior to 2012"/>
    <n v="9377.908998913872"/>
    <n v="1464.9327200455059"/>
    <s v="Tidal Caloosahatchee; West Caloosahatchee"/>
    <n v="32555"/>
    <s v="Not provided"/>
    <s v="Not provided"/>
    <s v="Not provided"/>
    <s v="Not provided"/>
    <s v="N/A"/>
    <s v="Not provided"/>
    <s v="Not provided"/>
    <s v="Not provided"/>
    <s v="N/A"/>
    <m/>
    <s v="Structural"/>
    <s v="Completed"/>
    <n v="2012"/>
    <n v="3601.5204800000001"/>
    <s v="N/A"/>
    <m/>
  </r>
  <r>
    <s v="CALO"/>
    <n v="2385"/>
    <x v="19"/>
    <s v="Not provided"/>
    <s v="LA-03"/>
    <s v="Weir Elevation Improvements"/>
    <s v="Replacement of weir structures at increased control elevations to provide additional attenuation."/>
    <s v="Control Structure"/>
    <x v="1"/>
    <s v="Not provided"/>
    <s v="Prior to 2012"/>
    <n v="8909.0135489681779"/>
    <n v="1391.6860840432307"/>
    <s v="Tidal Caloosahatchee; West Caloosahatchee"/>
    <n v="32555"/>
    <s v="Not provided"/>
    <s v="Not provided"/>
    <s v="Not provided"/>
    <s v="Not provided"/>
    <s v="N/A"/>
    <s v="Not provided"/>
    <s v="Not provided"/>
    <s v="Not provided"/>
    <s v="N/A"/>
    <m/>
    <s v="Structural"/>
    <s v="Completed"/>
    <n v="2012"/>
    <n v="3421.4444560000002"/>
    <s v="N/A"/>
    <m/>
  </r>
  <r>
    <s v="CALO"/>
    <n v="2387"/>
    <x v="19"/>
    <s v="Not provided"/>
    <s v="LA-04"/>
    <s v="Harn's Marsh Phases I and II"/>
    <s v="Replacement of weir structures and redirection of flows into filter marsh."/>
    <s v="Control Structure"/>
    <x v="1"/>
    <s v="Not provided"/>
    <s v="Prior to 2012"/>
    <s v="TBD"/>
    <s v="TBD"/>
    <s v="Tidal Caloosahatchee"/>
    <n v="32555"/>
    <s v="Not provided"/>
    <s v="Not provided"/>
    <s v="Not provided"/>
    <s v="Not provided"/>
    <s v="N/A"/>
    <s v="Not provided"/>
    <s v="26.65282629"/>
    <s v="-81.69285684"/>
    <s v="N/A"/>
    <m/>
    <s v="Structural"/>
    <s v="Completed"/>
    <n v="2012"/>
    <n v="2123.717744"/>
    <s v="N/A"/>
    <m/>
  </r>
  <r>
    <s v="CALO"/>
    <n v="2354"/>
    <x v="19"/>
    <s v="Not provided"/>
    <s v="LA-05"/>
    <s v="Jim Flemming Eco-Park"/>
    <s v="Wetland rehydration and treatment."/>
    <s v="Hydrologic Restoration"/>
    <x v="1"/>
    <s v="Not provided"/>
    <s v="Prior to 2012"/>
    <n v="7942.2942934720131"/>
    <n v="1715.8112762205844"/>
    <s v="Tidal Caloosahatchee"/>
    <n v="5.0199999999999996"/>
    <s v="Not provided"/>
    <s v="Not provided"/>
    <s v="Not provided"/>
    <s v="Not provided"/>
    <s v="N/A"/>
    <s v="Not provided"/>
    <s v="26.61742793"/>
    <s v="-81.69578312"/>
    <s v="N/A"/>
    <m/>
    <s v="Structural"/>
    <s v="Completed"/>
    <n v="2012"/>
    <n v="17.808021919999998"/>
    <s v="N/A"/>
    <m/>
  </r>
  <r>
    <s v="CALO"/>
    <n v="2352"/>
    <x v="19"/>
    <s v="Not provided"/>
    <s v="LA-06"/>
    <s v="Mirror Lake Phase I"/>
    <s v="Detention pond."/>
    <s v="Wet Detention Pond"/>
    <x v="1"/>
    <s v="Not provided"/>
    <s v="2013"/>
    <n v="819.06950398826666"/>
    <n v="127.17501865455264"/>
    <s v="Tidal Caloosahatchee"/>
    <n v="32555"/>
    <s v="Not provided"/>
    <s v="Not provided"/>
    <s v="Not provided"/>
    <s v="Not provided"/>
    <s v="N/A"/>
    <s v="Not provided"/>
    <s v="26.56256346"/>
    <s v="-81.64746957"/>
    <s v="N/A"/>
    <m/>
    <s v="Structural"/>
    <s v="Completed"/>
    <n v="2012"/>
    <n v="615.52434400000004"/>
    <s v="N/A"/>
    <m/>
  </r>
  <r>
    <s v="CALO"/>
    <n v="2377"/>
    <x v="19"/>
    <s v="DEP/ FDOT"/>
    <s v="LA-07"/>
    <s v="Aquifer Benefit and Storage for Orange River Basin (Southwest Lehigh Weirs)"/>
    <s v="Increase canal control elevations and local groundwater levels by constructing 25 new weirs."/>
    <s v="Control Structure"/>
    <x v="1"/>
    <s v="2016"/>
    <s v="2017"/>
    <n v="5550.986471295053"/>
    <n v="935.11069335242212"/>
    <s v="Tidal Caloosahatchee"/>
    <n v="5760"/>
    <n v="2532311.3199999998"/>
    <s v="Not provided"/>
    <s v="DEP/ FDOT"/>
    <s v="DEP - $1,224,800/ FDOT - $1,903,200"/>
    <s v="S0721"/>
    <s v="N/A"/>
    <s v="26.59099311"/>
    <s v="-81.68594106"/>
    <s v="N/A"/>
    <m/>
    <s v="Structural"/>
    <m/>
    <n v="2016"/>
    <n v="895.8442"/>
    <s v="N/A"/>
    <m/>
  </r>
  <r>
    <s v="CALO"/>
    <n v="2344"/>
    <x v="19"/>
    <s v="N/A"/>
    <s v="LA-08"/>
    <s v="S-AW-2 Weir Elevation Improvements"/>
    <s v="Replacement of weir structures at increase control elevations to provide additional attenuation."/>
    <s v="Control Structure"/>
    <x v="1"/>
    <s v="2016"/>
    <s v="2017"/>
    <n v="415.70182472888177"/>
    <n v="61.421911762441724"/>
    <s v="Tidal Caloosahatchee"/>
    <n v="640"/>
    <n v="400000"/>
    <n v="15000"/>
    <s v="LA-MSID"/>
    <s v="LA-MSID - $400,000"/>
    <s v="N/A"/>
    <s v="N/A"/>
    <s v="26.59239"/>
    <s v="-81.61794"/>
    <s v="N/A"/>
    <m/>
    <s v="Structural"/>
    <m/>
    <n v="2017"/>
    <n v="147.19060400000001"/>
    <s v="N/A"/>
    <m/>
  </r>
  <r>
    <s v="CALO"/>
    <n v="2363"/>
    <x v="19"/>
    <s v="SFWMD"/>
    <s v="LA-09"/>
    <s v="Mirror Lake Phase 2"/>
    <s v="Detention pond."/>
    <s v="Wet Detention Pond"/>
    <x v="3"/>
    <s v="2017"/>
    <s v="2018"/>
    <n v="738.80069259741651"/>
    <n v="108.86181596829707"/>
    <s v="Tidal Caloosahatchee"/>
    <n v="32555"/>
    <n v="500000"/>
    <s v="TBD"/>
    <s v="LA-MSID/ SFWMD"/>
    <s v="LA-MSID - $300,000/ SFWMD - $200,000"/>
    <s v="N/A"/>
    <s v="Not provided"/>
    <s v="26.56049063"/>
    <s v="-81.6377707"/>
    <s v="N/A"/>
    <m/>
    <s v="Structural"/>
    <s v="In Design"/>
    <n v="2017"/>
    <n v="2239.8372960000002"/>
    <s v="N/A"/>
    <n v="2"/>
  </r>
  <r>
    <s v="CALO"/>
    <n v="2348"/>
    <x v="19"/>
    <s v="FDOT/ Lee County"/>
    <s v="LA-10"/>
    <s v="West Marsh Preserve"/>
    <s v="Wetland rehydration and treatment."/>
    <s v="Hydrologic Restoration"/>
    <x v="3"/>
    <s v="2017"/>
    <s v="2020"/>
    <s v="TBD"/>
    <s v="TBD"/>
    <s v="Tidal Caloosahatchee"/>
    <n v="32555"/>
    <n v="12000000"/>
    <s v="TBD"/>
    <s v="LA-MSID/ FDOT/ Lee County"/>
    <s v="LA-MSID - $2,368,300/ FDOT - $5,000,000/ Lee County - $4,631,700"/>
    <s v="N/A"/>
    <s v="Not provided"/>
    <s v="26.64812855"/>
    <s v="-81.70249402"/>
    <s v="N/A"/>
    <m/>
    <s v="Structural"/>
    <m/>
    <n v="2017"/>
    <n v="913.98788000000002"/>
    <s v="N/A"/>
    <n v="3"/>
  </r>
  <r>
    <s v="CALO"/>
    <n v="2347"/>
    <x v="19"/>
    <s v="NRCS/ FEMA"/>
    <s v="LA-11"/>
    <s v="S-H-2 Weir Replacement"/>
    <s v="Replace failed fabriform weir."/>
    <s v="Control Structure"/>
    <x v="3"/>
    <s v="2018"/>
    <s v="2019"/>
    <n v="75.722903126017727"/>
    <n v="7.7905534450236535"/>
    <s v="West Caloosahatchee"/>
    <n v="1100"/>
    <n v="675000"/>
    <s v="TBD"/>
    <s v="NRCS/ FEMA/ LA-MSID"/>
    <s v="TBD"/>
    <s v="TBD"/>
    <s v="N/A"/>
    <s v="Not provided"/>
    <s v="Not provided"/>
    <s v="N/A"/>
    <m/>
    <s v="Structural"/>
    <m/>
    <n v="2017"/>
    <s v="TBD"/>
    <s v="TBD"/>
    <m/>
  </r>
  <r>
    <s v="CALO"/>
    <n v="2346"/>
    <x v="19"/>
    <s v="FDOT"/>
    <s v="LA-12"/>
    <s v="Hendry Canal Widening"/>
    <s v="Widen three miles of Hendry Ext. Canal. Create additional stormwater storage within the canal system."/>
    <s v="Hydrologic Restoration"/>
    <x v="3"/>
    <s v="2020"/>
    <s v="2021"/>
    <s v="TBD"/>
    <s v="TBD"/>
    <s v="West Caloosahatchee"/>
    <n v="4100"/>
    <n v="5000000"/>
    <s v="TBD"/>
    <s v="LA-MSID/ FDOT"/>
    <s v="TBD"/>
    <s v="TBD"/>
    <s v="N/A"/>
    <s v="26.57153562"/>
    <s v="-81.56511405"/>
    <s v="N/A"/>
    <m/>
    <s v="Structural"/>
    <m/>
    <n v="2017"/>
    <s v="TBD"/>
    <s v="TBD"/>
    <m/>
  </r>
  <r>
    <s v="CALO"/>
    <n v="2282"/>
    <x v="20"/>
    <s v="N/A"/>
    <s v="LC-01"/>
    <s v="Yellow Fever Creek Preserve"/>
    <s v="Land purchase and conversion to conservation land use."/>
    <s v="Land Use Change"/>
    <x v="1"/>
    <s v="2012"/>
    <s v="2012"/>
    <n v="66.05215954825394"/>
    <n v="30.922124601592543"/>
    <s v="Tidal Caloosahatchee"/>
    <n v="220"/>
    <n v="3323506"/>
    <n v="11703"/>
    <s v="County"/>
    <s v="County - $3,323,506"/>
    <s v="N/A"/>
    <s v="N/A"/>
    <s v="26.710315"/>
    <s v="-81.933828"/>
    <s v="N/A"/>
    <m/>
    <s v="Non-structural"/>
    <s v="Completed"/>
    <n v="2012"/>
    <n v="14.514944"/>
    <s v="N/A"/>
    <m/>
  </r>
  <r>
    <s v="CALO"/>
    <n v="2293"/>
    <x v="20"/>
    <s v="N/A"/>
    <s v="LC-02"/>
    <s v="Billy's Creek Preserve"/>
    <s v="Land purchase and conversion to conservation land use."/>
    <s v="Land Use Change"/>
    <x v="1"/>
    <s v="2012"/>
    <s v="2012"/>
    <n v="46.555076842230449"/>
    <n v="1.6464117536248359"/>
    <s v="Tidal Caloosahatchee"/>
    <n v="50.7"/>
    <n v="2500000"/>
    <s v="N/A"/>
    <s v="County"/>
    <s v="County - $2,500,000"/>
    <s v="N/A"/>
    <s v="N/A"/>
    <s v="26.662645"/>
    <s v="-81.824428"/>
    <s v="N/A"/>
    <m/>
    <s v="Non-structural"/>
    <s v="Completed"/>
    <n v="2012"/>
    <n v="7.7110640000000004"/>
    <s v="N/A"/>
    <m/>
  </r>
  <r>
    <s v="CALO"/>
    <n v="2284"/>
    <x v="20"/>
    <s v="SFWMD"/>
    <s v="LC-03"/>
    <s v="Six Mile Cypress Preserve"/>
    <s v="Land purchase and conversion to conservation land use."/>
    <s v="Land Use Change"/>
    <x v="1"/>
    <s v="2012"/>
    <s v="2012"/>
    <n v="1625.8593484607027"/>
    <n v="58.864275999135259"/>
    <s v="Tidal Caloosahatchee"/>
    <n v="1219"/>
    <n v="71475196"/>
    <n v="149212"/>
    <s v="County/ SFWMD"/>
    <s v="Not provided"/>
    <s v="N/A"/>
    <s v="N/A"/>
    <s v="26.629000"/>
    <s v="-81.815892"/>
    <s v="N/A"/>
    <m/>
    <s v="Non-structural"/>
    <s v="Completed"/>
    <n v="2012"/>
    <n v="5.8966960000000004"/>
    <s v="N/A"/>
    <m/>
  </r>
  <r>
    <s v="CALO"/>
    <n v="2275"/>
    <x v="20"/>
    <s v="SFWMD/ National Oceanic and Atmospheric Administration (NOAA)"/>
    <s v="LC-04"/>
    <s v="Bob Jane's Preserve"/>
    <s v="Land purchase and conversion to conservation land use."/>
    <s v="Land Use Change"/>
    <x v="1"/>
    <s v="2012"/>
    <s v="2012"/>
    <n v="14714.028783389726"/>
    <n v="495.26794306448346"/>
    <s v="Tidal Caloosahatchee; West Caloosahatchee"/>
    <n v="1978.9"/>
    <n v="41538620"/>
    <n v="639924"/>
    <s v="County/ SFWMD/ NOAA"/>
    <s v="Not provided"/>
    <s v="N/A"/>
    <s v="N/A"/>
    <s v="26.754302"/>
    <s v="-81.655325"/>
    <s v="N/A"/>
    <m/>
    <s v="Non-structural"/>
    <s v="Completed"/>
    <n v="2012"/>
    <n v="0"/>
    <s v="N/A"/>
    <m/>
  </r>
  <r>
    <s v="CALO"/>
    <n v="2286"/>
    <x v="20"/>
    <s v="N/A"/>
    <s v="LC-05"/>
    <s v="Buckingham Trails Preserve"/>
    <s v="Land purchase and conversion to conservation land use."/>
    <s v="Land Use Change"/>
    <x v="1"/>
    <s v="2012"/>
    <s v="2012"/>
    <n v="1814.5154663232602"/>
    <n v="68.357280409397674"/>
    <s v="Tidal Caloosahatchee"/>
    <n v="575.5"/>
    <n v="12584000"/>
    <n v="18708"/>
    <s v="County"/>
    <s v="County - $12,584,000"/>
    <s v="N/A"/>
    <s v="N/A"/>
    <s v="26.637291"/>
    <s v="-81.739156"/>
    <s v="N/A"/>
    <m/>
    <s v="Non-structural"/>
    <s v="Completed"/>
    <n v="2012"/>
    <n v="5.8966960000000004"/>
    <s v="N/A"/>
    <m/>
  </r>
  <r>
    <s v="CALO"/>
    <n v="2287"/>
    <x v="20"/>
    <s v="Florida Communities Trust (FCT)"/>
    <s v="LC-06"/>
    <s v="Caloosahatchee Creeks Preserve"/>
    <s v="Land purchase and conversion to conservation land use."/>
    <s v="Land Use Change"/>
    <x v="1"/>
    <s v="2012"/>
    <s v="2012"/>
    <n v="88.542392779391776"/>
    <n v="11.290510821573747"/>
    <s v="Tidal Caloosahatchee"/>
    <n v="911.3"/>
    <n v="8175706"/>
    <n v="81323"/>
    <s v="County"/>
    <s v="County - $8,175,706"/>
    <s v="N/A"/>
    <s v="N/A"/>
    <s v="26.703711"/>
    <s v="-81.793069"/>
    <s v="N/A"/>
    <m/>
    <s v="Non-structural"/>
    <s v="Completed"/>
    <n v="2012"/>
    <n v="6.8038799999999995"/>
    <s v="N/A"/>
    <m/>
  </r>
  <r>
    <s v="CALO"/>
    <n v="2264"/>
    <x v="20"/>
    <s v="N/A"/>
    <s v="LC-07"/>
    <s v="Deep Lagoon Preserve"/>
    <s v="Land purchase and conversion to conservation land use."/>
    <s v="Land Use Change"/>
    <x v="1"/>
    <s v="2012"/>
    <s v="2012"/>
    <n v="144.05997969276132"/>
    <n v="10.42818769475538"/>
    <s v="Tidal Caloosahatchee"/>
    <n v="117"/>
    <n v="4475664.2300000004"/>
    <n v="9915"/>
    <s v="County"/>
    <s v="County - $4,475,664"/>
    <s v="N/A"/>
    <s v="N/A"/>
    <s v="26.527191"/>
    <s v="-81.921707"/>
    <s v="N/A"/>
    <m/>
    <s v="Non-structural"/>
    <s v="Completed"/>
    <n v="2012"/>
    <n v="1.360776"/>
    <s v="N/A"/>
    <m/>
  </r>
  <r>
    <s v="CALO"/>
    <n v="2288"/>
    <x v="20"/>
    <s v="N/A"/>
    <s v="LC-08"/>
    <s v="Hickory Swamp Preserve"/>
    <s v="Land purchase and conversion to conservation land use."/>
    <s v="Land Use Change"/>
    <x v="1"/>
    <s v="2012"/>
    <s v="2012"/>
    <n v="225.68547556334715"/>
    <n v="8.517309877018878"/>
    <s v="Tidal Caloosahatchee"/>
    <n v="67.2"/>
    <n v="467000"/>
    <n v="3856"/>
    <s v="County"/>
    <s v="County - $467,000"/>
    <s v="N/A"/>
    <s v="N/A"/>
    <s v="26.665234"/>
    <s v="-81.738647"/>
    <s v="N/A"/>
    <m/>
    <s v="Non-structural"/>
    <s v="Completed"/>
    <n v="2012"/>
    <n v="1.360776"/>
    <s v="N/A"/>
    <m/>
  </r>
  <r>
    <s v="CALO"/>
    <n v="2252"/>
    <x v="20"/>
    <s v="N/A"/>
    <s v="LC-09"/>
    <s v="Orange River Preserve"/>
    <s v="Land purchase and conversion to conservation land use."/>
    <s v="Land Use Change"/>
    <x v="1"/>
    <s v="2012"/>
    <s v="2012"/>
    <n v="6.5437556569845583"/>
    <n v="1.2870802112779369"/>
    <s v="Tidal Caloosahatchee"/>
    <n v="59.1"/>
    <n v="1755000"/>
    <n v="2966"/>
    <s v="County"/>
    <s v="County - $1,755,000"/>
    <s v="N/A"/>
    <s v="N/A"/>
    <s v="26.690852"/>
    <s v="-81.783652"/>
    <s v="N/A"/>
    <m/>
    <s v="Non-structural"/>
    <s v="Completed"/>
    <n v="2012"/>
    <n v="1.360776"/>
    <s v="N/A"/>
    <m/>
  </r>
  <r>
    <s v="CALO"/>
    <n v="2290"/>
    <x v="20"/>
    <s v="FCT"/>
    <s v="LC-10"/>
    <s v="Prairie Pines Preserve"/>
    <s v="Land purchase and conversion to conservation land use."/>
    <s v="Land Use Change"/>
    <x v="1"/>
    <s v="2012"/>
    <s v="2012"/>
    <n v="7.4696171764458086E-2"/>
    <n v="1.9789510702473478E-2"/>
    <s v="Tidal Caloosahatchee"/>
    <n v="330.9"/>
    <n v="11790529.949999999"/>
    <n v="190454"/>
    <s v="County"/>
    <s v="County - $11,790,530"/>
    <s v="N/A"/>
    <s v="N/A"/>
    <s v="26.742021"/>
    <s v="-81.876716"/>
    <s v="N/A"/>
    <m/>
    <s v="Non-structural"/>
    <s v="Completed"/>
    <n v="2012"/>
    <n v="1.360776"/>
    <s v="N/A"/>
    <m/>
  </r>
  <r>
    <s v="CALO"/>
    <n v="2291"/>
    <x v="20"/>
    <s v="N/A"/>
    <s v="LC-11"/>
    <s v="Telegraph Creek Preserve"/>
    <s v="Land purchase and conversion to conservation land use."/>
    <s v="Land Use Change"/>
    <x v="1"/>
    <s v="2012"/>
    <s v="2012"/>
    <n v="4676.2257618141539"/>
    <n v="139.67865558403116"/>
    <s v="Tidal Caloosahatchee"/>
    <n v="1715.1"/>
    <n v="23900000"/>
    <n v="54639"/>
    <s v="County"/>
    <s v="County - $23,900,000"/>
    <s v="N/A"/>
    <s v="N/A"/>
    <s v="26.744064"/>
    <s v="-81.696723"/>
    <s v="N/A"/>
    <m/>
    <s v="Non-structural"/>
    <s v="Completed"/>
    <n v="2012"/>
    <n v="0"/>
    <s v="N/A"/>
    <m/>
  </r>
  <r>
    <s v="CALO"/>
    <n v="2283"/>
    <x v="20"/>
    <s v="N/A"/>
    <s v="LC-12"/>
    <s v="West Marsh Preserve"/>
    <s v="Land purchase and conversion to conservation land use."/>
    <s v="Land Use Change"/>
    <x v="1"/>
    <s v="2012"/>
    <s v="2012"/>
    <n v="148.00277321217226"/>
    <n v="41.346565624486509"/>
    <s v="Tidal Caloosahatchee"/>
    <n v="218.1"/>
    <n v="4631625"/>
    <s v="N/A"/>
    <s v="County"/>
    <s v="County - $4,631,625"/>
    <s v="N/A"/>
    <s v="N/A"/>
    <s v="26.647427"/>
    <s v="-81.705287"/>
    <s v="N/A"/>
    <m/>
    <s v="Non-structural"/>
    <s v="Completed"/>
    <n v="2012"/>
    <n v="1.360776"/>
    <s v="N/A"/>
    <m/>
  </r>
  <r>
    <s v="CALO"/>
    <n v="2258"/>
    <x v="20"/>
    <s v="N/A"/>
    <s v="LC-13"/>
    <s v="Yellow Fever Creek Preserve"/>
    <s v="Land purchase and conversion to conservation land use."/>
    <s v="Land Use Change"/>
    <x v="1"/>
    <s v="2012"/>
    <s v="2012"/>
    <n v="34.096796427158893"/>
    <n v="48.356621755709448"/>
    <s v="Tidal Caloosahatchee"/>
    <n v="117.8"/>
    <n v="3323506.74"/>
    <n v="11703"/>
    <s v="County"/>
    <s v="County - $3,323,507"/>
    <s v="N/A"/>
    <s v="N/A"/>
    <s v="26.709429"/>
    <s v="-81.933544"/>
    <s v="N/A"/>
    <m/>
    <s v="Non-structural"/>
    <s v="Completed"/>
    <n v="2012"/>
    <n v="0"/>
    <s v="N/A"/>
    <m/>
  </r>
  <r>
    <s v="CALO"/>
    <n v="2268"/>
    <x v="20"/>
    <s v="UF–IFAS Lee County Extension"/>
    <s v="LC-15"/>
    <s v="Education Efforts"/>
    <s v="FYN; landscape, irrigation, and fertilizer ordinances; pamphlets, PSAs, website, illicit discharge program; WETPLAN."/>
    <s v="Education Efforts"/>
    <x v="2"/>
    <s v="Prior to 2012"/>
    <s v="N/A"/>
    <n v="12957.46859635798"/>
    <n v="4993.8662873840367"/>
    <s v="Tidal Caloosahatchee"/>
    <s v="N/A"/>
    <n v="392441"/>
    <n v="125000"/>
    <s v="County"/>
    <s v="County - $12,000"/>
    <s v="NF060"/>
    <s v="N/A"/>
    <s v="26.652749"/>
    <s v="-81.776875"/>
    <s v="N/A"/>
    <m/>
    <s v="Non-structural"/>
    <s v="Ongoing"/>
    <n v="2012"/>
    <n v="9273.6884399999999"/>
    <s v="N/A"/>
    <m/>
  </r>
  <r>
    <s v="CALO"/>
    <n v="2272"/>
    <x v="20"/>
    <s v="N/A"/>
    <s v="LC-16"/>
    <s v="Street Sweeping"/>
    <s v="Materials from roadway and gutter sweeping."/>
    <s v="Street Sweeping"/>
    <x v="2"/>
    <s v="2000"/>
    <s v="N/A"/>
    <n v="571.80118023027933"/>
    <n v="374.13414835944224"/>
    <s v="Tidal Caloosahatchee"/>
    <s v="N/A"/>
    <n v="694176"/>
    <n v="248572.3"/>
    <s v="County"/>
    <s v="N/A"/>
    <s v="N/A"/>
    <s v="N/A"/>
    <s v="Not provided"/>
    <s v="Not provided"/>
    <s v="N/A"/>
    <m/>
    <s v="Non-structural"/>
    <s v="Ongoing"/>
    <n v="2012"/>
    <n v="269.88724000000002"/>
    <s v="N/A"/>
    <m/>
  </r>
  <r>
    <s v="CALO"/>
    <n v="2273"/>
    <x v="20"/>
    <s v="N/A"/>
    <s v="LC-17"/>
    <s v="North Fort Myers Surface Water Restoration: Powell Creek Extension and Lost Lane Levee"/>
    <s v="Conveyance improvements to increase residence time, rehydrate offsite wetlands on adjacent properties, and accommodate offsite flows."/>
    <s v="Hydrologic Restoration"/>
    <x v="1"/>
    <s v="Prior to 2012"/>
    <s v="2013"/>
    <n v="13638.332035764297"/>
    <n v="3535.7929785389233"/>
    <s v="Tidal Caloosahatchee"/>
    <n v="397.1"/>
    <n v="3485817"/>
    <n v="17101"/>
    <s v="County"/>
    <s v="N/A"/>
    <s v="N/A"/>
    <s v="N/A"/>
    <s v="26.738579"/>
    <s v="-81.871096"/>
    <s v="N/A"/>
    <m/>
    <s v="Structural"/>
    <s v="Completed"/>
    <n v="2012"/>
    <n v="1349.8897919999999"/>
    <s v="N/A"/>
    <m/>
  </r>
  <r>
    <s v="CALO"/>
    <n v="2289"/>
    <x v="20"/>
    <s v="N/A"/>
    <s v="LC-18"/>
    <s v="Whiskey Creek Weir Reconstruction"/>
    <s v="Retention lake weir repairs to restore originally intended design and operation."/>
    <s v="Control Structure"/>
    <x v="1"/>
    <s v="Prior to 2012"/>
    <s v="Prior to 2012"/>
    <n v="27712.185154679402"/>
    <n v="9113.0035318918763"/>
    <s v="Tidal Caloosahatchee"/>
    <n v="549.6"/>
    <s v="N/A"/>
    <s v="N/A"/>
    <s v="County"/>
    <s v="N/A"/>
    <s v="N/A"/>
    <s v="N/A"/>
    <s v="26.575158"/>
    <s v="-81.892428"/>
    <s v="N/A"/>
    <m/>
    <s v="Structural"/>
    <s v="Completed"/>
    <n v="2012"/>
    <n v="1525.8834879999999"/>
    <s v="N/A"/>
    <m/>
  </r>
  <r>
    <s v="CALO"/>
    <n v="2271"/>
    <x v="20"/>
    <s v="SFWMD/ U.S. Fish and Wildlife Service (FWS)"/>
    <s v="LC-19"/>
    <s v="Caloosahatchee Creeks East"/>
    <s v="Hydrologic restoration."/>
    <s v="Hydrologic Restoration"/>
    <x v="1"/>
    <s v="Prior to 2012"/>
    <s v="Prior to 2012"/>
    <n v="248.49752398516296"/>
    <n v="20.107639452434384"/>
    <s v="Tidal Caloosahatchee"/>
    <n v="6567.4"/>
    <n v="326955"/>
    <s v="N/A"/>
    <s v="County/ SFWMD/ FWS"/>
    <s v="$95,000"/>
    <s v="N/A"/>
    <s v="36-06163-P"/>
    <s v="26.703711"/>
    <s v="-81.793069"/>
    <s v="N/A"/>
    <m/>
    <s v="Structural"/>
    <s v="Completed"/>
    <n v="2012"/>
    <n v="1928.2195919999999"/>
    <s v="N/A"/>
    <m/>
  </r>
  <r>
    <s v="CALO"/>
    <n v="2270"/>
    <x v="20"/>
    <s v="DEP/ SFWMD"/>
    <s v="LC-20"/>
    <s v="Powell Creek Filter Marsh"/>
    <s v="Created wetland areas, boardwalks, and trails and a stabilized crossing of Powell Creek."/>
    <s v="Constructed Wetland Treatment"/>
    <x v="1"/>
    <s v="Prior to 2012"/>
    <s v="2013"/>
    <n v="5244.675772773975"/>
    <n v="2053.0619487093727"/>
    <s v="Tidal Caloosahatchee"/>
    <n v="1169.5999999999999"/>
    <n v="1440000"/>
    <n v="38395"/>
    <s v="County/ DEP"/>
    <s v="$1,025,000"/>
    <s v="S0606"/>
    <s v="N/A"/>
    <s v="26.691059"/>
    <s v="-81.867695"/>
    <s v="N/A"/>
    <m/>
    <s v="Structural"/>
    <s v="Completed"/>
    <n v="2012"/>
    <n v="767.93125599999996"/>
    <s v="N/A"/>
    <m/>
  </r>
  <r>
    <s v="CALO"/>
    <n v="2269"/>
    <x v="20"/>
    <s v="DEP"/>
    <s v="LC-21"/>
    <s v="Nalle Grade Stormwater Park"/>
    <s v="Dry retention and wet detention ponds."/>
    <s v="Stormwater Treatment Areas (STAs)"/>
    <x v="3"/>
    <s v="2019"/>
    <s v="2021"/>
    <n v="12084.348998984902"/>
    <n v="1027.302150234586"/>
    <s v="Tidal Caloosahatchee"/>
    <n v="720.36"/>
    <n v="3500000"/>
    <s v="TBD"/>
    <s v="County/ DEP"/>
    <s v="DEP - $500,000"/>
    <s v="S0727"/>
    <s v="N/A"/>
    <s v="26.7536319"/>
    <s v="-81.82114111"/>
    <s v="N/A"/>
    <m/>
    <s v="Structural"/>
    <s v="Future"/>
    <n v="2012"/>
    <n v="624.59618399999999"/>
    <s v="N/A"/>
    <m/>
  </r>
  <r>
    <s v="CALO"/>
    <n v="5740"/>
    <x v="19"/>
    <s v="Not provided"/>
    <s v="LA-13"/>
    <s v="CREST"/>
    <s v="Purchased 100 acres agricultural land to construct STA."/>
    <s v="Land Use Change"/>
    <x v="1"/>
    <s v="2018"/>
    <s v="2018"/>
    <n v="376.56605817548927"/>
    <n v="70.243951754660188"/>
    <s v="West Caloosahatchee"/>
    <n v="103.52288594552769"/>
    <n v="255800"/>
    <s v="Not provided"/>
    <s v="LA-MSID"/>
    <s v="$255,800"/>
    <s v="N/A"/>
    <s v="N/A"/>
    <s v="26.64483"/>
    <s v="-81.5221"/>
    <s v="N/A"/>
    <s v="TBD"/>
    <s v="Non-structural"/>
    <m/>
    <n v="2020"/>
    <s v="N/A"/>
    <s v="N/A"/>
    <m/>
  </r>
  <r>
    <s v="CALO"/>
    <n v="2259"/>
    <x v="20"/>
    <s v="SFWMD"/>
    <s v="LC-22"/>
    <s v="Deep Lagoon Hydrologic Restoration"/>
    <s v="Hydrologic restoration and enhancement, water conservation, wildlife habitat enhancement, and flood protection for surrounding area."/>
    <s v="Hydrologic Restoration"/>
    <x v="1"/>
    <s v="Prior to 2012"/>
    <s v="Prior to 2012"/>
    <n v="144.34089922384274"/>
    <n v="26.367895419543377"/>
    <s v="Tidal Caloosahatchee"/>
    <n v="1022.1"/>
    <n v="210959"/>
    <s v="N/A"/>
    <s v="County/ SFWMD"/>
    <s v="County - $78,500/ SFWMD - $102,071"/>
    <s v="N/A"/>
    <s v="4600001404/ 4600002055"/>
    <s v="26.528695"/>
    <s v="-81.924713"/>
    <s v="N/A"/>
    <m/>
    <s v="Structural"/>
    <s v="Completed"/>
    <n v="2012"/>
    <n v="1404.774424"/>
    <s v="N/A"/>
    <m/>
  </r>
  <r>
    <s v="CALO"/>
    <n v="2260"/>
    <x v="20"/>
    <s v="DEP"/>
    <s v="LC-23"/>
    <s v="Popash Creek Restoration"/>
    <s v="Hydrologic restoration to more natural flow regime by increasing water storage on property and improving both onsite and off-site flows."/>
    <s v="Hydrologic Restoration"/>
    <x v="1"/>
    <s v="Prior to 2012"/>
    <s v="Prior to 2012"/>
    <n v="271.72196441304749"/>
    <n v="43.94309575370329"/>
    <s v="Tidal Caloosahatchee"/>
    <n v="3517"/>
    <n v="1726625"/>
    <n v="16920"/>
    <s v="County/ DEP"/>
    <s v="$1,726,625"/>
    <s v="LP6838"/>
    <s v="N/A"/>
    <s v="26.758919"/>
    <s v="-81.805658"/>
    <s v="N/A"/>
    <m/>
    <s v="Structural"/>
    <s v="Completed"/>
    <n v="2012"/>
    <n v="2991.892832"/>
    <s v="N/A"/>
    <m/>
  </r>
  <r>
    <s v="CALO"/>
    <n v="2261"/>
    <x v="20"/>
    <s v="City of Fort Myers"/>
    <s v="LC-24"/>
    <s v="Billy's Creek Wetland"/>
    <s v="Billy Creek Filter Marsh Park."/>
    <s v="Constructed Wetland Treatment"/>
    <x v="1"/>
    <s v="Prior to 2012"/>
    <s v="Prior to 2012"/>
    <n v="948"/>
    <n v="807"/>
    <s v="Tidal Caloosahatchee"/>
    <n v="1632"/>
    <n v="2500000"/>
    <s v="N/A"/>
    <s v="County/ City of Fort Myers"/>
    <s v="$2,500,000"/>
    <s v="N/A"/>
    <s v="N/A"/>
    <s v="26.662645"/>
    <s v="-81.824428"/>
    <s v="N/A"/>
    <m/>
    <s v="Structural"/>
    <s v="Completed"/>
    <n v="2012"/>
    <n v="1217.440928"/>
    <s v="N/A"/>
    <m/>
  </r>
  <r>
    <s v="CALO"/>
    <n v="2262"/>
    <x v="20"/>
    <s v="DEP"/>
    <s v="LC-25"/>
    <s v="Caloosahatchee Creeks Preserve–West Restoration"/>
    <s v="Hydrologic restoration."/>
    <s v="Hydrologic Restoration"/>
    <x v="1"/>
    <s v="2015"/>
    <s v="2016"/>
    <n v="16185.209262199154"/>
    <n v="1368.2592402740279"/>
    <s v="Tidal Caloosahatchee"/>
    <n v="1295"/>
    <n v="250000"/>
    <s v="N/A"/>
    <s v="County/ DEP"/>
    <s v="$250,000"/>
    <s v="S0849"/>
    <s v="N/A"/>
    <s v="26.703014"/>
    <s v="-81.809534"/>
    <s v="N/A"/>
    <m/>
    <s v="Structural"/>
    <s v="Future"/>
    <n v="2015"/>
    <n v="49.895119999999999"/>
    <s v="N/A"/>
    <m/>
  </r>
  <r>
    <s v="CALO"/>
    <n v="2263"/>
    <x v="20"/>
    <s v="DEP"/>
    <s v="LC-26"/>
    <s v="Yellow Fever Creek – Gator Slough Transfer Facility"/>
    <s v="Return historical flow from Gator Slough Canal system to Yellow Fever Creek. There are 114 acres in the BMAP being treated by this project, there are additional areas being treated outside of the BMAP boundary."/>
    <s v="Hydrologic Restoration"/>
    <x v="0"/>
    <s v="2021"/>
    <s v="2021"/>
    <n v="102.5"/>
    <n v="118.4"/>
    <s v="Tidal Caloosahatchee"/>
    <n v="114"/>
    <s v="TBD"/>
    <s v="TBD"/>
    <s v="County/ DEP"/>
    <s v="County - $175,000/ DEP - 817,000"/>
    <s v="S0840/ LPQ0012"/>
    <s v="N/A"/>
    <s v="26.713912"/>
    <s v="-81.933902"/>
    <s v="N/A"/>
    <m/>
    <s v="Structural"/>
    <s v="Future"/>
    <n v="2015"/>
    <s v="TBD"/>
    <s v="N/A"/>
    <m/>
  </r>
  <r>
    <s v="CALO"/>
    <n v="2274"/>
    <x v="20"/>
    <s v="DEP"/>
    <s v="LC-27"/>
    <s v="Prairie Pines Preserve Restoration"/>
    <s v="Restoration of historical flows and enhancement and restoration of wetlands."/>
    <s v="Hydrologic Restoration"/>
    <x v="1"/>
    <s v="2018"/>
    <s v="2018"/>
    <n v="10356.13080315934"/>
    <n v="837.46594792145606"/>
    <s v="Tidal Caloosahatchee"/>
    <n v="2334"/>
    <n v="600000"/>
    <n v="28295"/>
    <s v="County/ DEP"/>
    <s v="DEP - $300,000"/>
    <s v="S0895"/>
    <s v="N/A"/>
    <s v="26.732617"/>
    <s v="-81.909439"/>
    <s v="N/A"/>
    <m/>
    <s v="Structural"/>
    <s v="Construction in 2017"/>
    <n v="2016"/>
    <s v="TBD"/>
    <s v="N/A"/>
    <m/>
  </r>
  <r>
    <s v="CALO"/>
    <n v="2265"/>
    <x v="20"/>
    <s v="N/A"/>
    <s v="LC-28"/>
    <s v="BMAP Plan Development – Basin Study"/>
    <s v="Basin study to identify pollutant sources and identify further actions to reach reduction goals."/>
    <s v="Study"/>
    <x v="1"/>
    <s v="2016"/>
    <s v="2017"/>
    <s v="N/A"/>
    <s v="N/A"/>
    <s v="Tidal Caloosahatchee"/>
    <s v="N/A"/>
    <n v="195831"/>
    <s v="N/A"/>
    <s v="County"/>
    <s v="County - $195,831"/>
    <s v="N/A"/>
    <s v="N/A"/>
    <s v="26.652749"/>
    <s v="-81.776875"/>
    <s v="N/A"/>
    <m/>
    <s v="Non-structural"/>
    <m/>
    <n v="2016"/>
    <s v="N/A"/>
    <s v="N/A"/>
    <m/>
  </r>
  <r>
    <s v="CALO"/>
    <n v="2257"/>
    <x v="20"/>
    <s v="N/A"/>
    <s v="LC-29"/>
    <s v="Caloosahatchee River-North Fort Myers Nutrient and Bacteria Source Identification Study"/>
    <s v="Watershed study to investigate interactions between onsite sewage treatment and disposal systems (OSTDS), groundwater, and surface water in Caloosahatchee Estuary."/>
    <s v="Study"/>
    <x v="1"/>
    <s v="2017"/>
    <s v="2020"/>
    <s v="N/A"/>
    <s v="N/A"/>
    <s v="Tidal Caloosahatchee"/>
    <s v="N/A"/>
    <n v="181352"/>
    <s v="N/A"/>
    <s v="County/ DEP"/>
    <s v="DEP - $89,964"/>
    <s v="NF047"/>
    <s v="N/A"/>
    <s v="26.652749"/>
    <s v="-81.776875"/>
    <s v="N/A"/>
    <m/>
    <s v="Non-structural"/>
    <m/>
    <n v="2016"/>
    <s v="N/A"/>
    <s v="N/A"/>
    <m/>
  </r>
  <r>
    <s v="CALO"/>
    <n v="5741"/>
    <x v="19"/>
    <s v="Not provided"/>
    <s v="LA-14"/>
    <s v="CREST"/>
    <s v="Construct STA."/>
    <s v="Stormwater Treatment Areas (STAs)"/>
    <x v="3"/>
    <s v="2021"/>
    <s v="2025"/>
    <n v="14256.496394166274"/>
    <n v="2731.8752497075889"/>
    <s v="West Caloosahatchee"/>
    <n v="12904.120330021264"/>
    <n v="5000000"/>
    <s v="Not provided"/>
    <s v="TBD"/>
    <s v="Not provided"/>
    <s v="TBD"/>
    <s v="Not provided"/>
    <s v="26.64483"/>
    <s v="-81.5221"/>
    <s v="N/A"/>
    <s v="TBD"/>
    <s v="Structural"/>
    <m/>
    <n v="2020"/>
    <s v="N/A"/>
    <s v="N/A"/>
    <m/>
  </r>
  <r>
    <s v="CALO"/>
    <n v="2267"/>
    <x v="20"/>
    <s v="N/A"/>
    <s v="LC-30"/>
    <s v="Waterway Estates Wastewater Treatment Facility (WWTF) Closure"/>
    <s v="Closure of facility with direct discharge to Caloosahatchee."/>
    <s v="WWTF Diversion to Reuse"/>
    <x v="1"/>
    <s v="2012"/>
    <s v="2012"/>
    <n v="295.03018879108532"/>
    <s v="TBD"/>
    <s v="Tidal Caloosahatchee"/>
    <s v="N/A"/>
    <n v="61565"/>
    <s v="N/A"/>
    <s v="County"/>
    <s v="County - $61,565"/>
    <s v="N/A"/>
    <s v="N/A"/>
    <s v="26.6393111"/>
    <s v="-81.90891036"/>
    <s v="N/A"/>
    <m/>
    <s v="Structural"/>
    <m/>
    <n v="2017"/>
    <n v="139.25274400000001"/>
    <s v="N/A"/>
    <m/>
  </r>
  <r>
    <s v="CALO"/>
    <n v="2357"/>
    <x v="20"/>
    <s v="SFWMD/ FDOT"/>
    <s v="LC-31"/>
    <s v="Six Mile Cypress Preserve North Hydrologic Restoration"/>
    <s v="Wetland creation, addition of control structures, berms, berm breaches to connect natural and created wetlands, and restoration of historical hydrologic conditions to reduce discharge into Caloosahatchee River."/>
    <s v="Hydrologic Restoration"/>
    <x v="1"/>
    <s v="2013"/>
    <s v="2013"/>
    <n v="724.60603567228372"/>
    <n v="194.35260335405403"/>
    <s v="Tidal Caloosahatchee"/>
    <n v="1874"/>
    <n v="2060768"/>
    <n v="70260"/>
    <s v="County/ SFWMD/ FDOT"/>
    <s v="County - $1,493,268/ SFWMD - $450,000/ FDOT - $117,500"/>
    <s v="N/A"/>
    <n v="4600002716"/>
    <s v="26.638532"/>
    <s v="-81.778207"/>
    <s v="N/A"/>
    <m/>
    <s v="Structural"/>
    <m/>
    <n v="2017"/>
    <s v="TBD"/>
    <s v="TBD"/>
    <m/>
  </r>
  <r>
    <s v="CALO"/>
    <n v="2356"/>
    <x v="20"/>
    <s v="DEP/ SFWMD"/>
    <s v="LC-32"/>
    <s v="Bob Jane's Preserve Environmental Restoration"/>
    <s v="Hydrologic improvements in portion of preserve via berms, beaches, and ditch blocks."/>
    <s v="Hydrologic Restoration"/>
    <x v="1"/>
    <s v="Not provided"/>
    <s v="2017"/>
    <n v="1216.3985676407892"/>
    <n v="118.72308819208398"/>
    <s v="Tidal Caloosahatchee; West Caloosahatchee"/>
    <s v="N/A"/>
    <n v="200000"/>
    <s v="N/A"/>
    <s v="County/ DEP/ SFWMD"/>
    <s v="$100,000"/>
    <s v="S0871"/>
    <s v="N/A"/>
    <s v="26.754302"/>
    <s v="-81.655325"/>
    <s v="N/A"/>
    <m/>
    <s v="Structural"/>
    <m/>
    <n v="2017"/>
    <s v="TBD"/>
    <s v="N/A"/>
    <m/>
  </r>
  <r>
    <s v="CALO"/>
    <n v="5742"/>
    <x v="21"/>
    <s v="DEP"/>
    <s v="LB-01"/>
    <s v="City of LaBelle Zone J Septic Tank to Central Sewer"/>
    <s v="Septic tank conversion project that will consist of a pump station, force main and gravity sewer to provide an estimated 55 customers (area buildout) with sanitary sewer."/>
    <s v="Wastewater Service Area Expansion"/>
    <x v="3"/>
    <s v="2019"/>
    <s v="2021"/>
    <n v="242.84366899670178"/>
    <s v="N/A"/>
    <s v="Caloosahatchee BMAP"/>
    <n v="22"/>
    <n v="908000"/>
    <s v="TBD"/>
    <s v="DEP/ City"/>
    <s v="$908,000"/>
    <s v="LPQ 0002"/>
    <s v="N/A"/>
    <s v="26.766285"/>
    <s v="-81.443199"/>
    <s v="N/A"/>
    <s v="N/A"/>
    <s v="Structural"/>
    <m/>
    <n v="2020"/>
    <s v="N/A"/>
    <s v="N/A"/>
    <m/>
  </r>
  <r>
    <s v="CALO"/>
    <n v="2239"/>
    <x v="20"/>
    <s v="DEP"/>
    <s v="LC-33"/>
    <s v="Telegraph Creek Preserve"/>
    <s v="Ditch blocks and native plantings in conveyances."/>
    <s v="Hydrologic Restoration"/>
    <x v="1"/>
    <s v="2016"/>
    <s v="2017"/>
    <n v="421.09349076693036"/>
    <n v="43.785945723380522"/>
    <s v="Tidal Caloosahatchee"/>
    <s v="N/A"/>
    <n v="107337"/>
    <n v="54639"/>
    <s v="County/ DEP"/>
    <s v="$125,000"/>
    <s v="S0873"/>
    <s v="N/A"/>
    <s v="26.744064"/>
    <s v="-81.696723"/>
    <s v="N/A"/>
    <m/>
    <s v="Structural"/>
    <m/>
    <n v="2017"/>
    <s v="TBD"/>
    <s v="N/A"/>
    <m/>
  </r>
  <r>
    <s v="CALO"/>
    <n v="2238"/>
    <x v="20"/>
    <s v="LA-MSID/ FDOT"/>
    <s v="LC-34"/>
    <s v="West Harnes Marsh"/>
    <s v="Creation and enhancement of wetland marsh ecosystem, including hydraulic connection for water quality improvement and stormwater attenuation."/>
    <s v="Constructed Wetland Treatment"/>
    <x v="3"/>
    <s v="2018"/>
    <s v="2021"/>
    <s v="TBD"/>
    <s v="TBD"/>
    <s v="Tidal Caloosahatchee"/>
    <s v="TBD"/>
    <s v="TBD"/>
    <s v="TBD"/>
    <s v="County/ LA-MSID"/>
    <s v="N/A"/>
    <s v="N/A"/>
    <s v="N/A"/>
    <s v="26.647427"/>
    <s v="-81.705287"/>
    <s v="N/A"/>
    <m/>
    <s v="Structural"/>
    <m/>
    <n v="2017"/>
    <s v="TBD"/>
    <s v="N/A"/>
    <m/>
  </r>
  <r>
    <s v="CALO"/>
    <n v="2243"/>
    <x v="20"/>
    <s v="DEP/ SFWMD"/>
    <s v="LC-35"/>
    <s v="C-43 Water Quality Treatment and Testing Facility Project (*study/land acquisition)"/>
    <s v="Project to demonstrate and implement cost-effective, wetland-based strategies for reduction of dissolved organic nitrogen (DON)."/>
    <s v="Study"/>
    <x v="3"/>
    <s v="2015"/>
    <s v="TBD"/>
    <s v="N/A"/>
    <s v="N/A"/>
    <s v="Tidal Caloosahatchee"/>
    <s v="N/A"/>
    <n v="10000000"/>
    <s v="N/A"/>
    <s v="County/ DEP/ SFWMD"/>
    <s v="N/A"/>
    <s v="N/A"/>
    <s v="N/A"/>
    <s v="26.700686"/>
    <s v="-81.529159"/>
    <s v="N/A"/>
    <m/>
    <s v="Non-structural"/>
    <m/>
    <n v="2017"/>
    <s v="N/A"/>
    <s v="N/A"/>
    <m/>
  </r>
  <r>
    <s v="CALO"/>
    <n v="2255"/>
    <x v="20"/>
    <s v="DEP/ SFWMD"/>
    <s v="LC-36"/>
    <s v="Fichter's Creek Restoration Project"/>
    <s v="Restoration of hydroperiod and water quality in Fichter's Creek."/>
    <s v="Hydrologic Restoration"/>
    <x v="1"/>
    <s v="2018"/>
    <s v="2018"/>
    <n v="1218.4432883749002"/>
    <n v="114.40798681264"/>
    <s v="West Caloosahatchee"/>
    <n v="4781"/>
    <n v="2000000"/>
    <n v="35000"/>
    <s v="County/ DEP/ SFWMD"/>
    <s v="DEP - $450,000/ SFWMD - $300,000"/>
    <s v="S0893"/>
    <n v="4600003525"/>
    <s v="26.73001"/>
    <s v="-81.662022"/>
    <s v="N/A"/>
    <m/>
    <s v="Structural"/>
    <m/>
    <n v="2017"/>
    <n v="659.06917599999997"/>
    <s v="N/A"/>
    <m/>
  </r>
  <r>
    <s v="CALO"/>
    <n v="2292"/>
    <x v="20"/>
    <s v="DEP"/>
    <s v="LC-37"/>
    <s v="Spanish Creek at Daniel's Preserve Restoration"/>
    <s v="Restoration of wetland hydroperiod and sheet flow attenuation."/>
    <s v="Hydrologic Restoration"/>
    <x v="1"/>
    <s v="2014"/>
    <s v="2014"/>
    <n v="828.91361983327317"/>
    <n v="46.256859367211256"/>
    <s v="West Caloosahatchee"/>
    <n v="4030.6556338808919"/>
    <n v="400000"/>
    <n v="3000"/>
    <s v="County/ DEP"/>
    <s v="DEP - $650,602/ SFWMD - $80,000"/>
    <s v="S0732"/>
    <n v="4600002828"/>
    <s v="26.733933"/>
    <s v="-81.604478"/>
    <s v="N/A"/>
    <m/>
    <s v="Structural"/>
    <m/>
    <n v="2017"/>
    <n v="50.802303999999999"/>
    <s v="N/A"/>
    <m/>
  </r>
  <r>
    <s v="CALO"/>
    <n v="2285"/>
    <x v="20"/>
    <s v="N/A"/>
    <s v="LC-38"/>
    <s v="Deep Lagoon Pollutant Load Reduction Phase 2-Watershed Analysis Report"/>
    <s v="Basin study to identify pollutant sources and identify further actions to reach reduction goals."/>
    <s v="Study"/>
    <x v="1"/>
    <s v="2018"/>
    <s v="2018"/>
    <s v="N/A"/>
    <s v="N/A"/>
    <s v="Tidal Caloosahatchee"/>
    <s v="N/A"/>
    <n v="70000"/>
    <s v="N/A"/>
    <s v="County"/>
    <s v="N/A"/>
    <s v="N/A"/>
    <s v="N/A"/>
    <s v="26.519637"/>
    <s v="-81.921543"/>
    <s v="N/A"/>
    <m/>
    <s v="Non-structural"/>
    <m/>
    <n v="2017"/>
    <s v="N/A"/>
    <s v="N/A"/>
    <m/>
  </r>
  <r>
    <s v="CALO"/>
    <n v="2276"/>
    <x v="20"/>
    <s v="DEP"/>
    <s v="LC-39"/>
    <s v="North Fort Myers Florida Power and Light (FPL) Feasibility Study"/>
    <s v="Study to identify areas of high nutrient loads and potential BMPs to improve water quality and reduce flooding."/>
    <s v="Study"/>
    <x v="1"/>
    <s v="2018"/>
    <s v="2019"/>
    <s v="N/A"/>
    <s v="N/A"/>
    <s v="Tidal Caloosahatchee"/>
    <s v="N/A"/>
    <n v="200000"/>
    <s v="N/A"/>
    <s v="County/ DEP"/>
    <s v="DEP - $200,000"/>
    <s v="S0894"/>
    <s v="N/A"/>
    <s v="26.661567"/>
    <s v="-81.89268"/>
    <s v="N/A"/>
    <m/>
    <s v="Non-structural"/>
    <m/>
    <n v="2017"/>
    <s v="N/A"/>
    <s v="N/A"/>
    <m/>
  </r>
  <r>
    <s v="CALO"/>
    <n v="2340"/>
    <x v="20"/>
    <s v="DEP"/>
    <s v="LC-40"/>
    <s v="Sunniland/Nine Mile Run Drainage Improvements"/>
    <s v="Replacement of failing water control structures (WCS) and reconnection of flow-ways to Hickory Swamp and Buckingham Trails Preserve."/>
    <s v="Hydrologic Restoration"/>
    <x v="0"/>
    <s v="2021"/>
    <s v="2021"/>
    <s v="TBD"/>
    <s v="TBD"/>
    <s v="Tidal Caloosahatchee"/>
    <s v="TBD"/>
    <n v="2000000"/>
    <s v="TBD"/>
    <s v="County/ DEP"/>
    <s v="$300,000"/>
    <s v="LP3602B"/>
    <s v="N/A"/>
    <s v="26.658217"/>
    <s v="-81.744166"/>
    <s v="N/A"/>
    <m/>
    <s v="Structural"/>
    <m/>
    <n v="2017"/>
    <s v="TBD"/>
    <s v="N/A"/>
    <m/>
  </r>
  <r>
    <s v="CALO"/>
    <n v="2277"/>
    <x v="20"/>
    <s v="City of Fort Myers"/>
    <s v="LC-41"/>
    <s v="Caloosahatchee Tributary Canal Rehabilitation: L-3"/>
    <s v="Reshaping canal banks, littoral planting, and possible addition of control structure(s)."/>
    <s v="Regional Stormwater Treatment"/>
    <x v="0"/>
    <s v="2021"/>
    <s v="2021"/>
    <n v="985.49522092318409"/>
    <n v="189.59088362849963"/>
    <s v="Tidal Caloosahatchee"/>
    <s v="TBD"/>
    <n v="500000"/>
    <s v="TBD"/>
    <s v="County/ City of Fort Myers/ DEP"/>
    <s v="DEP - $400,000"/>
    <s v="LPA0063"/>
    <s v="N/A"/>
    <s v="26.57583619"/>
    <s v="-81.87584604"/>
    <s v="N/A"/>
    <m/>
    <s v="Structural"/>
    <m/>
    <n v="2017"/>
    <s v="TBD"/>
    <s v="N/A"/>
    <m/>
  </r>
  <r>
    <s v="CALO"/>
    <n v="4369"/>
    <x v="20"/>
    <s v="N/A"/>
    <s v="LC-42"/>
    <s v="Bob Janes Preserve Restoration Feasibility Study"/>
    <s v="Study to identify areas of high nutrient loads and potential BMPs to improve water quality, and restore historic hydrologic conditions."/>
    <s v="Study"/>
    <x v="1"/>
    <s v="2019"/>
    <s v="2020"/>
    <s v="N/A"/>
    <s v="N/A"/>
    <s v="Tidal Caloosahatchee; West Caloosahatchee"/>
    <s v="N/A"/>
    <n v="228285"/>
    <s v="N/A"/>
    <s v="County"/>
    <s v="County - $228,285"/>
    <s v="N/A"/>
    <s v="N/A"/>
    <s v="26.753019"/>
    <s v="-81.648373"/>
    <s v="N/A"/>
    <m/>
    <s v="Non-structural"/>
    <s v="Underway"/>
    <n v="2018"/>
    <s v="N/A"/>
    <s v="N/A"/>
    <m/>
  </r>
  <r>
    <s v="CALO"/>
    <n v="4370"/>
    <x v="20"/>
    <s v="N/A"/>
    <s v="LC-43"/>
    <s v="GS-10"/>
    <s v="Land purchase and conversion to conservation land use."/>
    <s v="Land Use Change"/>
    <x v="1"/>
    <s v="2019"/>
    <s v="2019"/>
    <n v="15177.8380315002"/>
    <n v="10640.046788302505"/>
    <s v="Tidal Caloosahatchee; West Caloosahatchee"/>
    <s v="N/A"/>
    <n v="3870000"/>
    <s v="N/A"/>
    <s v="County"/>
    <s v="County - $3,870,000"/>
    <s v="N/A"/>
    <s v="N/A"/>
    <s v="26.66855657"/>
    <s v="-81.6101884"/>
    <s v="N/A"/>
    <m/>
    <s v="Non-structural"/>
    <s v="Completed"/>
    <n v="2018"/>
    <s v="N/A"/>
    <s v="N/A"/>
    <m/>
  </r>
  <r>
    <s v="CALO"/>
    <n v="4855"/>
    <x v="20"/>
    <s v="DEP"/>
    <s v="LC-44"/>
    <s v="Powell Creek / Old Bridge Park Restoration"/>
    <s v="Filter marsh creation and BMPs."/>
    <s v="Constructed Wetland Treatment"/>
    <x v="0"/>
    <s v="2021"/>
    <s v="2022"/>
    <s v="TBD"/>
    <s v="TBD"/>
    <s v="Tidal Caloosahatchee"/>
    <s v="TBD"/>
    <n v="974000"/>
    <s v="TBD"/>
    <s v="DEP"/>
    <s v="DEP - $774,000"/>
    <s v="LPQ0011"/>
    <s v="N/A"/>
    <s v="26.69098357"/>
    <s v="-81.87085594"/>
    <s v="N/A"/>
    <m/>
    <s v="Structural"/>
    <s v="Underway"/>
    <n v="2019"/>
    <s v="N/A"/>
    <s v="N/A"/>
    <m/>
  </r>
  <r>
    <s v="CALO"/>
    <n v="5743"/>
    <x v="21"/>
    <s v="DEP"/>
    <s v="LB-02"/>
    <s v="City of LaBelle Zone A Septic Tank to Central Sewer"/>
    <s v="Septic tank conversion project that will consist of a pump station, force main and gravity sewer to provide an estimated 496 customers (area buildout) with sanitary sewer."/>
    <s v="Wastewater Service Area Expansion"/>
    <x v="3"/>
    <s v="2019"/>
    <s v="2021"/>
    <n v="2222.0195713198209"/>
    <s v="N/A"/>
    <s v="Caloosahatchee BMAP"/>
    <n v="91"/>
    <n v="3128500"/>
    <s v="TBD"/>
    <s v="DEP/ City"/>
    <s v="$3,128,500"/>
    <s v="LPQ 0003"/>
    <s v="N/A"/>
    <s v="26.76402"/>
    <s v="-81.434432"/>
    <s v="N/A"/>
    <s v="N/A"/>
    <s v="Structural"/>
    <m/>
    <n v="2020"/>
    <s v="N/A"/>
    <s v="N/A"/>
    <m/>
  </r>
  <r>
    <s v="CALO"/>
    <n v="5744"/>
    <x v="21"/>
    <s v="DEP"/>
    <s v="LB-03"/>
    <s v="City of LaBelle Zone B Septic Tank to Central Sewer"/>
    <s v="Septic tank conversion project that will consist of a pump station, force main and gravity sewer to provide an estimated 315 customers (area buildout) with sanitary sewer."/>
    <s v="Wastewater Service Area Expansion"/>
    <x v="0"/>
    <s v="2021"/>
    <s v="2022"/>
    <n v="1408.4932801808702"/>
    <s v="N/A"/>
    <s v="Caloosahatchee BMAP"/>
    <n v="110"/>
    <n v="3243000"/>
    <s v="TBD"/>
    <s v="DEP/ City"/>
    <s v="TBD"/>
    <s v="LPQ 0020"/>
    <s v="N/A"/>
    <s v="26.76433"/>
    <s v="-81.428092"/>
    <s v="N/A"/>
    <s v="N/A"/>
    <s v="Structural"/>
    <m/>
    <n v="2020"/>
    <s v="N/A"/>
    <s v="N/A"/>
    <m/>
  </r>
  <r>
    <s v="CALO"/>
    <n v="4856"/>
    <x v="20"/>
    <s v="DEP"/>
    <s v="LC-45"/>
    <s v="Deep Lagoon Preserve Water Quality Improvement Project"/>
    <s v="Retention ponds, channel/ditch modifications, ditch blocks and pumped solutions."/>
    <s v="BMP Treatment Train"/>
    <x v="0"/>
    <s v="2022"/>
    <s v="2022"/>
    <s v="TBD"/>
    <s v="TBD"/>
    <s v="Tidal Caloosahatchee"/>
    <s v="TBD"/>
    <n v="3000000"/>
    <s v="TBD"/>
    <s v="TBD"/>
    <s v="TBD"/>
    <s v="TBD"/>
    <s v="N/A"/>
    <s v="26.52745854"/>
    <s v="-81.92174306"/>
    <s v="N/A"/>
    <m/>
    <s v="Structural"/>
    <s v="Underway"/>
    <n v="2019"/>
    <s v="N/A"/>
    <s v="N/A"/>
    <m/>
  </r>
  <r>
    <s v="CALO"/>
    <n v="4857"/>
    <x v="20"/>
    <s v="N/A"/>
    <s v="LC-46"/>
    <s v="Olga Shores Preserve Hydrological Restoration"/>
    <s v="Filter marsh creation. Best Management Practices (BMPs)."/>
    <s v="Hydrologic Restoration"/>
    <x v="0"/>
    <s v="TBD"/>
    <s v="TBD"/>
    <s v="TBD"/>
    <s v="TBD"/>
    <s v="Tidal Caloosahatchee"/>
    <s v="N/A"/>
    <s v="TBD"/>
    <s v="N/A"/>
    <s v="N/A"/>
    <s v="N/A"/>
    <s v="N/A"/>
    <s v="N/A"/>
    <s v="26.72174338"/>
    <s v="-81.70910357"/>
    <s v="N/A"/>
    <m/>
    <s v="Structural"/>
    <s v="Underway"/>
    <n v="2019"/>
    <s v="N/A"/>
    <s v="N/A"/>
    <m/>
  </r>
  <r>
    <s v="CALO"/>
    <n v="2278"/>
    <x v="22"/>
    <s v="N/A"/>
    <s v="LU-01"/>
    <s v="Education/ Fertilizer"/>
    <s v="Education."/>
    <s v="Education Efforts"/>
    <x v="2"/>
    <s v="Not provided"/>
    <s v="N/A"/>
    <n v="1.7503417507097307"/>
    <n v="0.42032141240466742"/>
    <s v="Tidal Caloosahatchee"/>
    <s v="N/A"/>
    <s v="Not provided"/>
    <s v="Not provided"/>
    <s v="Not provided"/>
    <s v="Not provided"/>
    <s v="N/A"/>
    <s v="Not provided"/>
    <s v="26.565817"/>
    <s v="-81.553234"/>
    <s v="N/A"/>
    <m/>
    <s v="Non-structural"/>
    <s v="Completed"/>
    <n v="2012"/>
    <s v="Not provided"/>
    <s v="N/A"/>
    <m/>
  </r>
  <r>
    <s v="CALO"/>
    <n v="2279"/>
    <x v="22"/>
    <s v="N/A"/>
    <s v="LU-02"/>
    <s v="Education/ Pet Waste"/>
    <s v="Education."/>
    <s v="Education Efforts"/>
    <x v="2"/>
    <s v="Not provided"/>
    <s v="N/A"/>
    <n v="1.7503417507097307"/>
    <n v="0.42032141240466742"/>
    <s v="Tidal Caloosahatchee"/>
    <s v="N/A"/>
    <s v="Not provided"/>
    <s v="Not provided"/>
    <s v="Not provided"/>
    <s v="Not provided"/>
    <s v="N/A"/>
    <s v="Not provided"/>
    <s v="26.565817"/>
    <s v="-81.553234"/>
    <s v="N/A"/>
    <m/>
    <s v="Non-structural"/>
    <s v="Completed"/>
    <n v="2012"/>
    <s v="Not provided"/>
    <s v="N/A"/>
    <m/>
  </r>
  <r>
    <s v="CALO"/>
    <n v="5218"/>
    <x v="23"/>
    <s v="Glades County"/>
    <s v="MH-01"/>
    <s v="Glades County Caloosahatchee River and Estuary Area Wastewater Grant"/>
    <s v="Elimination of aging and/or failing existing septic systems in City of Moore Haven. Project also provides for additional conveyance capacity for additional homes and businesses."/>
    <s v="OSTDS Phase Out"/>
    <x v="0"/>
    <s v="Not provided"/>
    <s v="2021"/>
    <n v="1252.7"/>
    <s v="N/A"/>
    <s v="East Caloosahatchee"/>
    <n v="86.5"/>
    <n v="994420"/>
    <s v="N/A"/>
    <s v="DEP"/>
    <s v="DEP - $891,848"/>
    <s v="LP22023"/>
    <s v="N/A"/>
    <s v="Not provided"/>
    <s v="Not provided"/>
    <s v="DEP/ City"/>
    <m/>
    <s v="Structural"/>
    <m/>
    <n v="2019"/>
    <s v="Not provided"/>
    <s v="Not provided"/>
    <m/>
  </r>
  <r>
    <s v="CALO"/>
    <n v="5230"/>
    <x v="20"/>
    <s v="N/A"/>
    <s v="LC-47"/>
    <s v="Microbial Source Tracking in Lee County Waterways"/>
    <s v="Watershed study to investigate interactions between OSTDS and surface water in the Caloosahatchee Estuary."/>
    <s v="Study"/>
    <x v="0"/>
    <s v="2021"/>
    <s v="2021"/>
    <s v="N/A"/>
    <s v="N/A"/>
    <s v="Tidal Caloosahatchee"/>
    <s v="N/A"/>
    <n v="645000"/>
    <s v="N/A"/>
    <s v="County"/>
    <s v="N/A"/>
    <s v="N/A"/>
    <s v="N/A"/>
    <s v="Not provided"/>
    <s v="Not provided"/>
    <s v="N/A"/>
    <m/>
    <s v="Non-structural"/>
    <m/>
    <n v="2019"/>
    <s v="N/A"/>
    <s v="N/A"/>
    <m/>
  </r>
  <r>
    <s v="CALO"/>
    <n v="5745"/>
    <x v="20"/>
    <s v="N/A"/>
    <s v="LC-48"/>
    <s v="Olga Shores Preserve"/>
    <s v="Land purchase and conversion to conservation land use."/>
    <s v="Land Use Change"/>
    <x v="1"/>
    <s v="2017"/>
    <s v="2017"/>
    <n v="1.7304584191971344"/>
    <n v="0.26411505700228588"/>
    <s v="Tidal Caloosahatchee"/>
    <n v="91.726565258633642"/>
    <n v="2659059"/>
    <s v="TBD"/>
    <s v="County"/>
    <s v="County - $2,659,059"/>
    <s v="N/A"/>
    <s v="N/A"/>
    <s v="26.720964"/>
    <s v="-81.708499"/>
    <s v="N/A"/>
    <m/>
    <s v="Non-structural"/>
    <m/>
    <n v="2020"/>
    <s v="N/A"/>
    <s v="N/A"/>
    <m/>
  </r>
  <r>
    <s v="CALO"/>
    <n v="5219"/>
    <x v="24"/>
    <s v="N/A"/>
    <s v="PORT-01"/>
    <s v="Education/Fertilizer"/>
    <s v="FYN; landscape, irrigation, and fertilizer ordinances; pamphlets, PSAs, website, illicit discharge program; WETPLAN."/>
    <s v="Education Efforts"/>
    <x v="2"/>
    <s v="Not provided"/>
    <s v="N/A"/>
    <n v="66.242142460780002"/>
    <n v="7.6119449637880008"/>
    <s v="West Caloosahatchee"/>
    <n v="250.7"/>
    <s v="Not provided"/>
    <s v="Not provided"/>
    <s v="Not provided"/>
    <s v="Not provided"/>
    <s v="N/A"/>
    <s v="Not provided"/>
    <s v="Not provided"/>
    <s v="Not provided"/>
    <s v="N/A"/>
    <m/>
    <s v="Non-structural"/>
    <m/>
    <n v="2019"/>
    <s v="Not provided"/>
    <s v="Not provided"/>
    <m/>
  </r>
  <r>
    <s v="CALO"/>
    <n v="5220"/>
    <x v="24"/>
    <s v="N/A"/>
    <s v="PORT-02"/>
    <s v="Control Structures"/>
    <s v="CS-A1 is a Modified Type H Inlet, CS-A2 is a Modified Type E Inlet, CS-B1 is a Modified Type C Inlet."/>
    <s v="Control Structure"/>
    <x v="1"/>
    <s v="Not provided"/>
    <s v="2007"/>
    <s v="TBD"/>
    <s v="TBD"/>
    <s v="West Caloosahatchee"/>
    <s v="N/A"/>
    <s v="Not provided"/>
    <s v="Not provided"/>
    <s v="Not provided"/>
    <s v="Not provided"/>
    <s v="N/A"/>
    <s v="Not provided"/>
    <s v="26.68908316"/>
    <s v="-81.70333752"/>
    <s v="N/A"/>
    <m/>
    <s v="Structural"/>
    <m/>
    <n v="2019"/>
    <s v="Not provided"/>
    <s v="Not provided"/>
    <m/>
  </r>
  <r>
    <s v="CALO"/>
    <n v="5221"/>
    <x v="24"/>
    <s v="N/A"/>
    <s v="PORT-03"/>
    <s v="Conservation Lands"/>
    <s v="Conversion of agricultural lands to natural conservation lands."/>
    <s v="Land Use Change"/>
    <x v="1"/>
    <s v="Not provided"/>
    <s v="2019"/>
    <s v="TBD"/>
    <s v="TBD"/>
    <s v="West Caloosahatchee"/>
    <s v="N/A"/>
    <s v="Not provided"/>
    <s v="Not provided"/>
    <s v="Not provided"/>
    <s v="Not provided"/>
    <s v="N/A"/>
    <s v="Not provided"/>
    <s v="26.697928"/>
    <s v="-81.726795"/>
    <s v="N/A"/>
    <m/>
    <s v="Non-structural"/>
    <m/>
    <n v="2019"/>
    <s v="Not provided"/>
    <s v="Not provided"/>
    <m/>
  </r>
  <r>
    <s v="CALO"/>
    <n v="5222"/>
    <x v="24"/>
    <s v="N/A"/>
    <s v="PORT-04"/>
    <s v="Stormwater Aeration System"/>
    <s v="Aeration systems on surface water management ponds A1, A2, A3, A4, A5, A9, A10, B1, and B2."/>
    <s v="Stormwater Aeration System"/>
    <x v="1"/>
    <s v="Not provided"/>
    <s v="2017"/>
    <s v="TBD"/>
    <s v="TBD"/>
    <s v="West Caloosahatchee"/>
    <s v="N/A"/>
    <s v="Not provided"/>
    <s v="Not provided"/>
    <s v="Not provided"/>
    <s v="Not provided"/>
    <s v="N/A"/>
    <s v="Not provided"/>
    <s v="26.697928"/>
    <s v="-81.726795"/>
    <s v="N/A"/>
    <m/>
    <s v="Structural"/>
    <m/>
    <n v="2019"/>
    <s v="Not provided"/>
    <s v="Not provided"/>
    <m/>
  </r>
  <r>
    <s v="CALO"/>
    <n v="5223"/>
    <x v="25"/>
    <s v="DEP/ FDACS"/>
    <s v="SD-01"/>
    <s v="Public Education and Outreach"/>
    <s v="Updates on BMAP and requirements during annual landowner meetings."/>
    <s v="Education Efforts"/>
    <x v="0"/>
    <s v="2020"/>
    <s v="N/A"/>
    <s v="N/A"/>
    <s v="N/A"/>
    <s v="East Caloosahatchee"/>
    <s v="N/A"/>
    <n v="500"/>
    <s v="N/A"/>
    <s v="Sugarland Drainage District"/>
    <s v="$500"/>
    <s v="N/A"/>
    <s v="N/A"/>
    <s v="26.730144"/>
    <s v="-80.964206"/>
    <s v="N/A"/>
    <m/>
    <s v="Non-structural"/>
    <m/>
    <n v="2019"/>
    <s v="Not provided"/>
    <s v="Not provided"/>
    <m/>
  </r>
  <r>
    <s v="CALO"/>
    <n v="5224"/>
    <x v="25"/>
    <s v="FDACS"/>
    <s v="SD-02"/>
    <s v="FDACS BMP Assistance"/>
    <s v="Provide assistance to FDACS, as needed, to encourage landowners to enroll in BMPs."/>
    <s v="Agricultural BMPs"/>
    <x v="0"/>
    <s v="2020"/>
    <s v="N/A"/>
    <s v="N/A"/>
    <s v="N/A"/>
    <s v="East Caloosahatchee"/>
    <s v="N/A"/>
    <n v="1000"/>
    <s v="N/A"/>
    <s v="Sugarland Drainage District"/>
    <s v="$1,000"/>
    <s v="N/A"/>
    <s v="N/A"/>
    <s v="26.730144"/>
    <s v="-80.964206"/>
    <s v="N/A"/>
    <m/>
    <s v="Non-structural"/>
    <m/>
    <n v="2019"/>
    <s v="Not provided"/>
    <s v="Not provided"/>
    <m/>
  </r>
  <r>
    <s v="CALO"/>
    <n v="5225"/>
    <x v="25"/>
    <s v="N/A"/>
    <s v="SD-03"/>
    <s v="Nutrient Controls"/>
    <s v="No application of fertilizer in district's rights-of-way."/>
    <s v="Fertilizer Cessation"/>
    <x v="1"/>
    <s v="2020"/>
    <s v="2020"/>
    <s v="N/A"/>
    <s v="N/A"/>
    <s v="East Caloosahatchee"/>
    <s v="N/A"/>
    <n v="0"/>
    <s v="N/A"/>
    <s v="Sugarland Drainage District"/>
    <s v="N/A"/>
    <s v="N/A"/>
    <s v="N/A"/>
    <s v="26.753411"/>
    <s v="-80.9854.89"/>
    <s v="N/A"/>
    <m/>
    <s v="Non-structural"/>
    <m/>
    <n v="2019"/>
    <s v="Not provided"/>
    <s v="Not provided"/>
    <m/>
  </r>
  <r>
    <s v="CALO"/>
    <n v="5226"/>
    <x v="25"/>
    <s v="N/A"/>
    <s v="SD-04"/>
    <s v="Slow Velocity in the Main Canal"/>
    <s v="Minimize sediment transport by slowing velocity in main canal near main discharge structure."/>
    <s v="Control Structure"/>
    <x v="0"/>
    <s v="2021"/>
    <s v="TBD"/>
    <s v="N/A"/>
    <s v="N/A"/>
    <s v="East Caloosahatchee"/>
    <s v="N/A"/>
    <n v="4500"/>
    <s v="N/A"/>
    <s v="Sugarland Drainage District"/>
    <s v="$4,500"/>
    <s v="N/A"/>
    <s v="N/A"/>
    <s v="26.753411"/>
    <s v="-80.9854.89"/>
    <s v="N/A"/>
    <m/>
    <s v="Structural"/>
    <m/>
    <n v="2019"/>
    <s v="Not provided"/>
    <s v="Not provided"/>
    <m/>
  </r>
  <r>
    <s v="CALO"/>
    <n v="5227"/>
    <x v="25"/>
    <s v="N/A"/>
    <s v="SD-05"/>
    <s v="Control Structures"/>
    <s v="Annual maintenance of water control structures."/>
    <s v="Control Structure"/>
    <x v="2"/>
    <s v="2021"/>
    <s v="N/A"/>
    <s v="N/A"/>
    <s v="N/A"/>
    <s v="East Caloosahatchee"/>
    <s v="N/A"/>
    <n v="2500"/>
    <s v="N/A"/>
    <s v="Sugarland Drainage District"/>
    <s v="$2,500"/>
    <s v="N/A"/>
    <s v="N/A"/>
    <s v="26.765592"/>
    <s v="-80.959603"/>
    <s v="N/A"/>
    <m/>
    <s v="Structural"/>
    <m/>
    <n v="2019"/>
    <s v="Not provided"/>
    <s v="Not provided"/>
    <m/>
  </r>
  <r>
    <s v="CALO"/>
    <n v="5228"/>
    <x v="26"/>
    <s v="N/A"/>
    <s v="VE-01"/>
    <s v="Education/Fertilizer"/>
    <s v="FYN; landscape, irrigation, and fertilizer ordinances; pamphlets, PSAs, website, illicit discharge program; WETPLAN."/>
    <s v="Education Efforts"/>
    <x v="2"/>
    <s v="Not provided"/>
    <s v="N/A"/>
    <n v="116.54315594848701"/>
    <n v="15.051627967223292"/>
    <s v="Tidal Caloosahatchee"/>
    <n v="452"/>
    <s v="Not provided"/>
    <s v="Not provided"/>
    <s v="Not provided"/>
    <s v="Not provided"/>
    <s v="N/A"/>
    <s v="Not provided"/>
    <s v="Not provided"/>
    <s v="Not provided"/>
    <s v="N/A"/>
    <m/>
    <s v="Non-structural"/>
    <m/>
    <n v="2019"/>
    <s v="Not provided"/>
    <s v="Not provided"/>
    <m/>
  </r>
  <r>
    <s v="CALO"/>
    <n v="5229"/>
    <x v="27"/>
    <s v="N/A"/>
    <s v="VW-01"/>
    <s v="Education/Fertilizer"/>
    <s v="FYN; landscape, irrigation, and fertilizer ordinances; pamphlets, PSAs, website, illicit discharge program; WETPLAN."/>
    <s v="Education Efforts"/>
    <x v="2"/>
    <s v="Not provided"/>
    <s v="N/A"/>
    <n v="180.34872436642615"/>
    <n v="29.137580185064948"/>
    <s v="Tidal Caloosahatchee"/>
    <n v="488.8"/>
    <s v="Not provided"/>
    <s v="Not provided"/>
    <s v="Not provided"/>
    <s v="Not provided"/>
    <s v="N/A"/>
    <s v="Not provided"/>
    <s v="Not provided"/>
    <s v="Not provided"/>
    <s v="N/A"/>
    <m/>
    <s v="Non-structural"/>
    <m/>
    <n v="2019"/>
    <s v="Not provided"/>
    <s v="Not provided"/>
    <m/>
  </r>
  <r>
    <s v="CALO"/>
    <n v="5746"/>
    <x v="20"/>
    <s v="N/A"/>
    <s v="LC-49"/>
    <s v="Four Mile Cove"/>
    <s v="Land purchase and conversion to conservation land use."/>
    <s v="Land Use Change"/>
    <x v="1"/>
    <s v="2020"/>
    <s v="2020"/>
    <n v="23.638535674686636"/>
    <n v="5.5515007653417783"/>
    <s v="Tidal Caloosahatchee"/>
    <n v="179.46269003342599"/>
    <n v="6050000"/>
    <s v="TBD"/>
    <s v="County"/>
    <s v="N/A"/>
    <s v="N/A"/>
    <s v="N/A"/>
    <s v="26.619614"/>
    <s v="-81.923428"/>
    <s v="N/A"/>
    <m/>
    <s v="Non-structural"/>
    <m/>
    <n v="2020"/>
    <s v="N/A"/>
    <s v="N/A"/>
    <m/>
  </r>
  <r>
    <s v="CALO"/>
    <n v="5747"/>
    <x v="20"/>
    <s v="N/A"/>
    <s v="LC-50"/>
    <s v="Alva Scrub Preserve"/>
    <s v="Land purchase and conversion to conservation land use."/>
    <s v="Land Use Change"/>
    <x v="1"/>
    <s v="2000"/>
    <s v="2019"/>
    <n v="1909.6228435501757"/>
    <n v="163.71207505076345"/>
    <s v="West Caloosahatchee"/>
    <n v="1175.8469408968199"/>
    <n v="16847808.5"/>
    <s v="TBD"/>
    <s v="County"/>
    <s v="N/A"/>
    <s v="N/A"/>
    <s v="N/A"/>
    <s v="26.692741"/>
    <s v="-81.61634"/>
    <s v="N/A"/>
    <m/>
    <s v="Non-structural"/>
    <m/>
    <n v="2020"/>
    <s v="N/A"/>
    <s v="N/A"/>
    <m/>
  </r>
  <r>
    <s v="CALO"/>
    <n v="5748"/>
    <x v="20"/>
    <s v="N/A"/>
    <s v="LC-51"/>
    <s v="Master Wastewater Treatment Feasibility Analysis"/>
    <s v="Study to support the development of a County-wide Septic Conversion Master Plan (SCMP)."/>
    <s v="Study"/>
    <x v="0"/>
    <s v="2021"/>
    <s v="2023"/>
    <s v="N/A"/>
    <s v="N/A"/>
    <s v="Tidal Caloosahatchee"/>
    <s v="N/A"/>
    <s v="TBD"/>
    <s v="N/A"/>
    <s v="County"/>
    <s v="TBD"/>
    <s v="TBD"/>
    <s v="N/A"/>
    <s v="Not provided"/>
    <s v="Not provided"/>
    <s v="Unknown"/>
    <m/>
    <s v="Non-structural"/>
    <m/>
    <n v="2020"/>
    <s v="N/A"/>
    <s v="N/A"/>
    <m/>
  </r>
  <r>
    <s v="CALO"/>
    <n v="5749"/>
    <x v="28"/>
    <s v="Lee County"/>
    <s v="M-01"/>
    <s v="Education/Fertilizer"/>
    <s v="Public education, training, codes and ordinances provided by Lee County."/>
    <s v="Education Efforts"/>
    <x v="2"/>
    <s v="2017"/>
    <s v="N/A"/>
    <s v="N/A"/>
    <s v="N/A"/>
    <s v="County-wide; District-wide"/>
    <s v="N/A"/>
    <s v="N/A"/>
    <s v="N/A"/>
    <s v="Lee County"/>
    <s v="N/A"/>
    <s v="N/A"/>
    <s v="N/A"/>
    <s v="26.514444"/>
    <s v="-81.913056"/>
    <s v="N/A"/>
    <m/>
    <s v="Non-structural"/>
    <m/>
    <n v="2020"/>
    <s v="N/A"/>
    <s v="N/A"/>
    <m/>
  </r>
  <r>
    <s v="CALO"/>
    <n v="5750"/>
    <x v="28"/>
    <s v="Lee County"/>
    <s v="M-02"/>
    <s v="Education/Pet Waste"/>
    <s v="Public education and training provided by Lee County."/>
    <s v="Education Efforts"/>
    <x v="2"/>
    <s v="2017"/>
    <s v="N/A"/>
    <s v="N/A"/>
    <s v="N/A"/>
    <s v="County-wide; District-wide"/>
    <s v="N/A"/>
    <s v="N/A"/>
    <s v="N/A"/>
    <s v="Lee County"/>
    <s v="N/A"/>
    <s v="N/A"/>
    <s v="N/A"/>
    <s v="26.514444"/>
    <s v="-81.913056"/>
    <s v="N/A"/>
    <m/>
    <s v="Non-structural"/>
    <m/>
    <n v="2020"/>
    <s v="N/A"/>
    <s v="N/A"/>
    <m/>
  </r>
  <r>
    <s v="CALO"/>
    <n v="5751"/>
    <x v="23"/>
    <s v="N/A"/>
    <s v="MH-02"/>
    <s v="Sanitary Sewer Hook-Up Project"/>
    <s v="Hook-up 14 residential housing units on Railroad Ave, Avenue F and 7th street currently on septic systems to central sewer."/>
    <s v="OSTDS Phase Out"/>
    <x v="1"/>
    <s v="2019"/>
    <s v="2020"/>
    <n v="175.38132308276161"/>
    <s v="N/A"/>
    <s v="East Caloosahatchee"/>
    <s v="Not provided"/>
    <n v="694400"/>
    <s v="N/A"/>
    <s v="DEO"/>
    <s v="DEO-$644,000/ City - $50,400"/>
    <s v="N/A"/>
    <s v="N/A"/>
    <s v="26.835885"/>
    <s v="-81.099753"/>
    <s v="N/A"/>
    <s v="N"/>
    <s v="Structural"/>
    <m/>
    <n v="2020"/>
    <s v="N/A"/>
    <s v="N/A"/>
    <m/>
  </r>
  <r>
    <s v="CALO"/>
    <n v="5752"/>
    <x v="29"/>
    <s v="N/A"/>
    <s v="PL-01"/>
    <s v="Public Education and Outreach"/>
    <s v="Updates on BMAP and requirements during annual meeting."/>
    <s v="Education Efforts"/>
    <x v="0"/>
    <s v="2019"/>
    <s v="N/A"/>
    <n v="61.481276597421136"/>
    <n v="14.255604822827236"/>
    <s v="East Caloosahatchee"/>
    <n v="5422.8"/>
    <s v="TBD"/>
    <s v="TBD"/>
    <s v="Port LaBelle CDD"/>
    <s v="TBD"/>
    <s v="N/A"/>
    <s v="N/A"/>
    <s v="TBD"/>
    <s v="TBD"/>
    <s v="N/A"/>
    <s v="N"/>
    <s v="Non-structural"/>
    <m/>
    <n v="2020"/>
    <s v="N/A"/>
    <s v="N/A"/>
    <m/>
  </r>
  <r>
    <s v="CALO"/>
    <n v="5753"/>
    <x v="19"/>
    <s v="Lee County"/>
    <s v="LA-15"/>
    <s v="GS-10"/>
    <s v="Construct STA."/>
    <s v="Stormwater Treatment Areas (STAs)"/>
    <x v="0"/>
    <s v="2021"/>
    <s v="2031"/>
    <s v="TBD"/>
    <s v="TBD"/>
    <s v="West Caloosahatchee"/>
    <n v="17076"/>
    <n v="12000000"/>
    <s v="Not provided"/>
    <s v="TBD"/>
    <s v="Not provided"/>
    <s v="TBD"/>
    <s v="Not provided"/>
    <s v="26.54102"/>
    <s v="-81.60454"/>
    <s v="N/A"/>
    <s v="TBD"/>
    <s v="Structural"/>
    <m/>
    <n v="2020"/>
    <s v="N/A"/>
    <s v="N/A"/>
    <m/>
  </r>
  <r>
    <s v="CALO"/>
    <n v="5754"/>
    <x v="19"/>
    <s v="Not provided"/>
    <s v="LA-16"/>
    <s v="S-BH-2"/>
    <s v="Replacement of weir structures at increase control elevations to provide additional attenuation."/>
    <s v="Control Structure"/>
    <x v="3"/>
    <s v="2021"/>
    <s v="2021"/>
    <s v="TBD"/>
    <s v="TBD"/>
    <s v="West Caloosahatchee"/>
    <n v="1031"/>
    <n v="75000"/>
    <s v="Not provided"/>
    <s v="LA-MSID"/>
    <s v="$75,000"/>
    <s v="N/A"/>
    <s v="Not provided"/>
    <s v="26.54102"/>
    <s v="-81.60454"/>
    <s v="N/A"/>
    <s v="TBD"/>
    <s v="Structural"/>
    <m/>
    <n v="2020"/>
    <s v="N/A"/>
    <s v="N/A"/>
    <m/>
  </r>
  <r>
    <s v="CALO"/>
    <n v="5755"/>
    <x v="19"/>
    <s v="Not provided"/>
    <s v="LA-17"/>
    <s v="S-CP-1"/>
    <s v="Replacement of weir structures at increase control elevations to provide additional attenuation."/>
    <s v="Control Structure"/>
    <x v="3"/>
    <s v="2021"/>
    <s v="2021"/>
    <s v="TBD"/>
    <s v="TBD"/>
    <s v="West Caloosahatchee"/>
    <n v="1135"/>
    <n v="400000"/>
    <s v="Not provided"/>
    <s v="LA-MSID"/>
    <s v="$400,000"/>
    <s v="N/A"/>
    <s v="N/A"/>
    <s v="26.62156"/>
    <s v="-81.72721"/>
    <s v="N/A"/>
    <s v="TBD"/>
    <s v="Structural"/>
    <m/>
    <n v="2020"/>
    <s v="N/A"/>
    <s v="N/A"/>
    <m/>
  </r>
  <r>
    <s v="CALO"/>
    <n v="5756"/>
    <x v="19"/>
    <s v="Not provided"/>
    <s v="LA-18"/>
    <s v="S-R-1"/>
    <s v="Replacement of weir structures at increase control elevations to provide additional attenuation."/>
    <s v="Control Structure"/>
    <x v="1"/>
    <s v="2020"/>
    <s v="2020"/>
    <s v="TBD"/>
    <s v="TBD"/>
    <s v="Tidal Caloosahatchee"/>
    <n v="1193"/>
    <n v="136681"/>
    <s v="Not provided"/>
    <s v="LA-MSID"/>
    <s v="$136,681"/>
    <s v="N/A"/>
    <s v="N/A"/>
    <s v="26.63524"/>
    <s v="-81.69195"/>
    <s v="N/A"/>
    <s v="TBD"/>
    <s v="Structural"/>
    <m/>
    <n v="2020"/>
    <s v="N/A"/>
    <s v="N/A"/>
    <m/>
  </r>
  <r>
    <m/>
    <m/>
    <x v="30"/>
    <m/>
    <m/>
    <m/>
    <m/>
    <m/>
    <x v="4"/>
    <m/>
    <m/>
    <m/>
    <m/>
    <m/>
    <m/>
    <m/>
    <m/>
    <m/>
    <m/>
    <m/>
    <m/>
    <m/>
    <m/>
    <m/>
    <m/>
    <m/>
    <m/>
    <m/>
    <m/>
    <m/>
    <m/>
  </r>
  <r>
    <m/>
    <m/>
    <x v="30"/>
    <m/>
    <m/>
    <m/>
    <m/>
    <m/>
    <x v="4"/>
    <m/>
    <m/>
    <m/>
    <m/>
    <m/>
    <m/>
    <m/>
    <m/>
    <m/>
    <m/>
    <m/>
    <m/>
    <m/>
    <m/>
    <m/>
    <m/>
    <m/>
    <m/>
    <m/>
    <m/>
    <m/>
    <m/>
  </r>
  <r>
    <m/>
    <m/>
    <x v="30"/>
    <m/>
    <m/>
    <m/>
    <m/>
    <m/>
    <x v="4"/>
    <m/>
    <m/>
    <m/>
    <m/>
    <m/>
    <m/>
    <m/>
    <m/>
    <m/>
    <m/>
    <m/>
    <m/>
    <m/>
    <m/>
    <m/>
    <m/>
    <m/>
    <m/>
    <m/>
    <m/>
    <m/>
    <m/>
  </r>
  <r>
    <m/>
    <m/>
    <x v="30"/>
    <m/>
    <m/>
    <m/>
    <m/>
    <m/>
    <x v="4"/>
    <m/>
    <m/>
    <m/>
    <m/>
    <m/>
    <m/>
    <m/>
    <m/>
    <m/>
    <m/>
    <m/>
    <m/>
    <m/>
    <m/>
    <m/>
    <m/>
    <m/>
    <m/>
    <m/>
    <m/>
    <m/>
    <m/>
  </r>
  <r>
    <m/>
    <m/>
    <x v="30"/>
    <m/>
    <m/>
    <m/>
    <m/>
    <m/>
    <x v="4"/>
    <m/>
    <m/>
    <m/>
    <m/>
    <m/>
    <m/>
    <m/>
    <m/>
    <m/>
    <m/>
    <m/>
    <m/>
    <m/>
    <m/>
    <m/>
    <m/>
    <m/>
    <m/>
    <m/>
    <m/>
    <m/>
    <m/>
  </r>
  <r>
    <m/>
    <m/>
    <x v="30"/>
    <m/>
    <m/>
    <m/>
    <m/>
    <m/>
    <x v="4"/>
    <m/>
    <m/>
    <m/>
    <m/>
    <m/>
    <m/>
    <m/>
    <m/>
    <m/>
    <m/>
    <m/>
    <m/>
    <m/>
    <m/>
    <m/>
    <m/>
    <m/>
    <m/>
    <m/>
    <m/>
    <m/>
    <m/>
  </r>
  <r>
    <m/>
    <m/>
    <x v="30"/>
    <m/>
    <m/>
    <m/>
    <m/>
    <m/>
    <x v="4"/>
    <m/>
    <m/>
    <m/>
    <m/>
    <m/>
    <m/>
    <m/>
    <m/>
    <m/>
    <m/>
    <m/>
    <m/>
    <m/>
    <m/>
    <m/>
    <m/>
    <m/>
    <m/>
    <m/>
    <m/>
    <m/>
    <m/>
  </r>
  <r>
    <m/>
    <m/>
    <x v="30"/>
    <m/>
    <m/>
    <m/>
    <m/>
    <m/>
    <x v="4"/>
    <m/>
    <m/>
    <m/>
    <m/>
    <m/>
    <m/>
    <m/>
    <m/>
    <m/>
    <m/>
    <m/>
    <m/>
    <m/>
    <m/>
    <m/>
    <m/>
    <m/>
    <m/>
    <m/>
    <m/>
    <m/>
    <m/>
  </r>
  <r>
    <m/>
    <m/>
    <x v="30"/>
    <m/>
    <m/>
    <m/>
    <m/>
    <m/>
    <x v="4"/>
    <m/>
    <m/>
    <m/>
    <m/>
    <m/>
    <m/>
    <m/>
    <m/>
    <m/>
    <m/>
    <m/>
    <m/>
    <m/>
    <m/>
    <m/>
    <m/>
    <m/>
    <m/>
    <m/>
    <m/>
    <m/>
    <m/>
  </r>
  <r>
    <m/>
    <m/>
    <x v="30"/>
    <m/>
    <m/>
    <m/>
    <m/>
    <m/>
    <x v="4"/>
    <m/>
    <m/>
    <m/>
    <m/>
    <m/>
    <m/>
    <m/>
    <m/>
    <m/>
    <m/>
    <m/>
    <m/>
    <m/>
    <m/>
    <m/>
    <m/>
    <m/>
    <m/>
    <m/>
    <m/>
    <m/>
    <m/>
  </r>
  <r>
    <m/>
    <m/>
    <x v="30"/>
    <m/>
    <m/>
    <m/>
    <m/>
    <m/>
    <x v="4"/>
    <m/>
    <m/>
    <m/>
    <m/>
    <m/>
    <m/>
    <m/>
    <m/>
    <m/>
    <m/>
    <m/>
    <m/>
    <m/>
    <m/>
    <m/>
    <m/>
    <m/>
    <m/>
    <m/>
    <m/>
    <m/>
    <m/>
  </r>
  <r>
    <m/>
    <m/>
    <x v="30"/>
    <m/>
    <m/>
    <m/>
    <m/>
    <m/>
    <x v="4"/>
    <m/>
    <m/>
    <m/>
    <m/>
    <m/>
    <m/>
    <m/>
    <m/>
    <m/>
    <m/>
    <m/>
    <m/>
    <m/>
    <m/>
    <m/>
    <m/>
    <m/>
    <m/>
    <m/>
    <m/>
    <m/>
    <m/>
  </r>
  <r>
    <m/>
    <m/>
    <x v="30"/>
    <m/>
    <m/>
    <m/>
    <m/>
    <m/>
    <x v="4"/>
    <m/>
    <m/>
    <m/>
    <m/>
    <m/>
    <m/>
    <m/>
    <m/>
    <m/>
    <m/>
    <m/>
    <m/>
    <m/>
    <m/>
    <m/>
    <m/>
    <m/>
    <m/>
    <m/>
    <m/>
    <m/>
    <m/>
  </r>
  <r>
    <m/>
    <m/>
    <x v="30"/>
    <m/>
    <m/>
    <m/>
    <m/>
    <m/>
    <x v="4"/>
    <m/>
    <m/>
    <m/>
    <m/>
    <m/>
    <m/>
    <m/>
    <m/>
    <m/>
    <m/>
    <m/>
    <m/>
    <m/>
    <m/>
    <m/>
    <m/>
    <m/>
    <m/>
    <m/>
    <m/>
    <m/>
    <m/>
  </r>
  <r>
    <m/>
    <m/>
    <x v="30"/>
    <m/>
    <m/>
    <m/>
    <m/>
    <m/>
    <x v="4"/>
    <m/>
    <m/>
    <m/>
    <m/>
    <m/>
    <m/>
    <m/>
    <m/>
    <m/>
    <m/>
    <m/>
    <m/>
    <m/>
    <m/>
    <m/>
    <m/>
    <m/>
    <m/>
    <m/>
    <m/>
    <m/>
    <m/>
  </r>
  <r>
    <m/>
    <m/>
    <x v="30"/>
    <m/>
    <m/>
    <m/>
    <m/>
    <m/>
    <x v="4"/>
    <m/>
    <m/>
    <m/>
    <m/>
    <m/>
    <m/>
    <m/>
    <m/>
    <m/>
    <m/>
    <m/>
    <m/>
    <m/>
    <m/>
    <m/>
    <m/>
    <m/>
    <m/>
    <m/>
    <m/>
    <m/>
    <m/>
  </r>
  <r>
    <m/>
    <m/>
    <x v="30"/>
    <m/>
    <m/>
    <m/>
    <m/>
    <m/>
    <x v="4"/>
    <m/>
    <m/>
    <m/>
    <m/>
    <m/>
    <m/>
    <m/>
    <m/>
    <m/>
    <m/>
    <m/>
    <m/>
    <m/>
    <m/>
    <m/>
    <m/>
    <m/>
    <m/>
    <m/>
    <m/>
    <m/>
    <m/>
  </r>
  <r>
    <m/>
    <m/>
    <x v="30"/>
    <m/>
    <m/>
    <m/>
    <m/>
    <m/>
    <x v="4"/>
    <m/>
    <m/>
    <m/>
    <m/>
    <m/>
    <m/>
    <m/>
    <m/>
    <m/>
    <m/>
    <m/>
    <m/>
    <m/>
    <m/>
    <m/>
    <m/>
    <m/>
    <m/>
    <m/>
    <m/>
    <m/>
    <m/>
  </r>
  <r>
    <m/>
    <m/>
    <x v="30"/>
    <m/>
    <m/>
    <m/>
    <m/>
    <m/>
    <x v="4"/>
    <m/>
    <m/>
    <m/>
    <m/>
    <m/>
    <m/>
    <m/>
    <m/>
    <m/>
    <m/>
    <m/>
    <m/>
    <m/>
    <m/>
    <m/>
    <m/>
    <m/>
    <m/>
    <m/>
    <m/>
    <m/>
    <m/>
  </r>
  <r>
    <m/>
    <m/>
    <x v="30"/>
    <m/>
    <m/>
    <m/>
    <m/>
    <m/>
    <x v="4"/>
    <m/>
    <m/>
    <m/>
    <m/>
    <m/>
    <m/>
    <m/>
    <m/>
    <m/>
    <m/>
    <m/>
    <m/>
    <m/>
    <m/>
    <m/>
    <m/>
    <m/>
    <m/>
    <m/>
    <m/>
    <m/>
    <m/>
  </r>
  <r>
    <m/>
    <m/>
    <x v="30"/>
    <m/>
    <m/>
    <m/>
    <m/>
    <m/>
    <x v="4"/>
    <m/>
    <m/>
    <m/>
    <m/>
    <m/>
    <m/>
    <m/>
    <m/>
    <m/>
    <m/>
    <m/>
    <m/>
    <m/>
    <m/>
    <m/>
    <m/>
    <m/>
    <m/>
    <m/>
    <m/>
    <m/>
    <m/>
  </r>
  <r>
    <m/>
    <m/>
    <x v="30"/>
    <m/>
    <m/>
    <m/>
    <m/>
    <m/>
    <x v="4"/>
    <m/>
    <m/>
    <m/>
    <m/>
    <m/>
    <m/>
    <m/>
    <m/>
    <m/>
    <m/>
    <m/>
    <m/>
    <m/>
    <m/>
    <m/>
    <m/>
    <m/>
    <m/>
    <m/>
    <m/>
    <m/>
    <m/>
  </r>
  <r>
    <m/>
    <m/>
    <x v="30"/>
    <m/>
    <m/>
    <m/>
    <m/>
    <m/>
    <x v="4"/>
    <m/>
    <m/>
    <m/>
    <m/>
    <m/>
    <m/>
    <m/>
    <m/>
    <m/>
    <m/>
    <m/>
    <m/>
    <m/>
    <m/>
    <m/>
    <m/>
    <m/>
    <m/>
    <m/>
    <m/>
    <m/>
    <m/>
  </r>
  <r>
    <m/>
    <m/>
    <x v="30"/>
    <m/>
    <m/>
    <m/>
    <m/>
    <m/>
    <x v="4"/>
    <m/>
    <m/>
    <m/>
    <m/>
    <m/>
    <m/>
    <m/>
    <m/>
    <m/>
    <m/>
    <m/>
    <m/>
    <m/>
    <m/>
    <m/>
    <m/>
    <m/>
    <m/>
    <m/>
    <m/>
    <m/>
    <m/>
  </r>
  <r>
    <m/>
    <m/>
    <x v="30"/>
    <m/>
    <m/>
    <m/>
    <m/>
    <m/>
    <x v="4"/>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889F7BD-A28E-49E3-9DE8-27ECD96A34D3}" name="PivotTable3" cacheId="16"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O2:P34" firstHeaderRow="1" firstDataRow="1" firstDataCol="1"/>
  <pivotFields count="30">
    <pivotField showAll="0"/>
    <pivotField axis="axisRow" showAll="0">
      <items count="33">
        <item x="0"/>
        <item x="4"/>
        <item x="2"/>
        <item x="6"/>
        <item x="15"/>
        <item x="23"/>
        <item x="3"/>
        <item x="7"/>
        <item x="1"/>
        <item x="5"/>
        <item x="8"/>
        <item x="10"/>
        <item x="11"/>
        <item m="1" x="31"/>
        <item x="12"/>
        <item x="13"/>
        <item x="14"/>
        <item x="17"/>
        <item x="16"/>
        <item x="18"/>
        <item x="19"/>
        <item x="20"/>
        <item x="22"/>
        <item x="24"/>
        <item x="25"/>
        <item x="26"/>
        <item x="27"/>
        <item x="30"/>
        <item x="9"/>
        <item x="21"/>
        <item x="28"/>
        <item x="29"/>
        <item t="default"/>
      </items>
    </pivotField>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
  </rowFields>
  <rowItems count="32">
    <i>
      <x/>
    </i>
    <i>
      <x v="1"/>
    </i>
    <i>
      <x v="2"/>
    </i>
    <i>
      <x v="3"/>
    </i>
    <i>
      <x v="4"/>
    </i>
    <i>
      <x v="5"/>
    </i>
    <i>
      <x v="6"/>
    </i>
    <i>
      <x v="7"/>
    </i>
    <i>
      <x v="8"/>
    </i>
    <i>
      <x v="9"/>
    </i>
    <i>
      <x v="10"/>
    </i>
    <i>
      <x v="11"/>
    </i>
    <i>
      <x v="12"/>
    </i>
    <i>
      <x v="14"/>
    </i>
    <i>
      <x v="15"/>
    </i>
    <i>
      <x v="16"/>
    </i>
    <i>
      <x v="17"/>
    </i>
    <i>
      <x v="18"/>
    </i>
    <i>
      <x v="19"/>
    </i>
    <i>
      <x v="20"/>
    </i>
    <i>
      <x v="21"/>
    </i>
    <i>
      <x v="22"/>
    </i>
    <i>
      <x v="23"/>
    </i>
    <i>
      <x v="24"/>
    </i>
    <i>
      <x v="25"/>
    </i>
    <i>
      <x v="26"/>
    </i>
    <i>
      <x v="27"/>
    </i>
    <i>
      <x v="28"/>
    </i>
    <i>
      <x v="29"/>
    </i>
    <i>
      <x v="30"/>
    </i>
    <i>
      <x v="31"/>
    </i>
    <i t="grand">
      <x/>
    </i>
  </rowItems>
  <colItems count="1">
    <i/>
  </colItems>
  <dataFields count="1">
    <dataField name="Count of ProjectStatus" fld="7" subtotal="count" baseField="0" baseItem="0"/>
  </dataFields>
  <formats count="6">
    <format dxfId="17">
      <pivotArea type="all" dataOnly="0" outline="0" fieldPosition="0"/>
    </format>
    <format dxfId="16">
      <pivotArea outline="0" collapsedLevelsAreSubtotals="1" fieldPosition="0"/>
    </format>
    <format dxfId="15">
      <pivotArea field="1" type="button" dataOnly="0" labelOnly="1" outline="0" axis="axisRow" fieldPosition="0"/>
    </format>
    <format dxfId="14">
      <pivotArea dataOnly="0" labelOnly="1" fieldPosition="0">
        <references count="1">
          <reference field="1" count="0"/>
        </references>
      </pivotArea>
    </format>
    <format dxfId="13">
      <pivotArea dataOnly="0" labelOnly="1" grandRow="1" outline="0" fieldPosition="0"/>
    </format>
    <format dxfId="12">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A3723B6-2465-4FDC-B741-F117B4840BA4}" name="PivotTable2" cacheId="16"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44:C72" firstHeaderRow="0" firstDataRow="1" firstDataCol="1" rowPageCount="1" colPageCount="1"/>
  <pivotFields count="30">
    <pivotField showAll="0"/>
    <pivotField axis="axisRow" showAll="0">
      <items count="33">
        <item x="0"/>
        <item x="4"/>
        <item x="2"/>
        <item x="6"/>
        <item x="15"/>
        <item x="23"/>
        <item x="3"/>
        <item x="7"/>
        <item x="1"/>
        <item x="5"/>
        <item x="8"/>
        <item x="10"/>
        <item x="11"/>
        <item x="12"/>
        <item x="13"/>
        <item x="14"/>
        <item x="17"/>
        <item x="16"/>
        <item x="18"/>
        <item x="19"/>
        <item x="20"/>
        <item x="22"/>
        <item x="24"/>
        <item x="25"/>
        <item x="26"/>
        <item x="27"/>
        <item x="30"/>
        <item m="1" x="31"/>
        <item x="9"/>
        <item x="21"/>
        <item x="28"/>
        <item x="29"/>
        <item t="default"/>
      </items>
    </pivotField>
    <pivotField showAll="0"/>
    <pivotField showAll="0"/>
    <pivotField showAll="0"/>
    <pivotField showAll="0"/>
    <pivotField showAll="0"/>
    <pivotField axis="axisPage" multipleItemSelectionAllowed="1" showAll="0">
      <items count="7">
        <item h="1" m="1" x="5"/>
        <item x="1"/>
        <item x="2"/>
        <item h="1" x="0"/>
        <item h="1" x="3"/>
        <item h="1" x="4"/>
        <item t="default"/>
      </items>
    </pivotField>
    <pivotField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
  </rowFields>
  <rowItems count="28">
    <i>
      <x/>
    </i>
    <i>
      <x v="1"/>
    </i>
    <i>
      <x v="2"/>
    </i>
    <i>
      <x v="3"/>
    </i>
    <i>
      <x v="4"/>
    </i>
    <i>
      <x v="5"/>
    </i>
    <i>
      <x v="6"/>
    </i>
    <i>
      <x v="7"/>
    </i>
    <i>
      <x v="8"/>
    </i>
    <i>
      <x v="9"/>
    </i>
    <i>
      <x v="10"/>
    </i>
    <i>
      <x v="11"/>
    </i>
    <i>
      <x v="12"/>
    </i>
    <i>
      <x v="13"/>
    </i>
    <i>
      <x v="14"/>
    </i>
    <i>
      <x v="15"/>
    </i>
    <i>
      <x v="16"/>
    </i>
    <i>
      <x v="17"/>
    </i>
    <i>
      <x v="18"/>
    </i>
    <i>
      <x v="19"/>
    </i>
    <i>
      <x v="20"/>
    </i>
    <i>
      <x v="21"/>
    </i>
    <i>
      <x v="22"/>
    </i>
    <i>
      <x v="23"/>
    </i>
    <i>
      <x v="24"/>
    </i>
    <i>
      <x v="25"/>
    </i>
    <i>
      <x v="30"/>
    </i>
    <i t="grand">
      <x/>
    </i>
  </rowItems>
  <colFields count="1">
    <field x="-2"/>
  </colFields>
  <colItems count="2">
    <i>
      <x/>
    </i>
    <i i="1">
      <x v="1"/>
    </i>
  </colItems>
  <pageFields count="1">
    <pageField fld="7" hier="-1"/>
  </pageFields>
  <dataFields count="2">
    <dataField name="Sum of TNReduction(lbs/yr)" fld="10" baseField="1" baseItem="0"/>
    <dataField name="Sum of TPReduction(lbs/yr)" fld="11" baseField="1" baseItem="0"/>
  </dataFields>
  <formats count="2">
    <format dxfId="19">
      <pivotArea outline="0" collapsedLevelsAreSubtotals="1" fieldPosition="0"/>
    </format>
    <format dxfId="18">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5BD7F37A-041B-4CC0-805F-DDC395420464}" name="PivotTable6" cacheId="17"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8:D9" firstHeaderRow="0" firstDataRow="1" firstDataCol="0" rowPageCount="1" colPageCount="1"/>
  <pivotFields count="29">
    <pivotField showAll="0"/>
    <pivotField showAll="0"/>
    <pivotField showAll="0"/>
    <pivotField showAll="0"/>
    <pivotField showAll="0"/>
    <pivotField showAll="0"/>
    <pivotField showAll="0"/>
    <pivotField axis="axisPage" multipleItemSelectionAllowed="1" showAll="0">
      <items count="7">
        <item h="1" x="1"/>
        <item x="0"/>
        <item x="3"/>
        <item h="1" x="4"/>
        <item h="1" x="2"/>
        <item h="1" m="1" x="5"/>
        <item t="default"/>
      </items>
    </pivotField>
    <pivotField showAll="0"/>
    <pivotField showAll="0"/>
    <pivotField dataField="1" showAll="0"/>
    <pivotField dataField="1" showAll="0"/>
    <pivotField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2"/>
  </colFields>
  <colItems count="4">
    <i>
      <x/>
    </i>
    <i i="1">
      <x v="1"/>
    </i>
    <i i="2">
      <x v="2"/>
    </i>
    <i i="3">
      <x v="3"/>
    </i>
  </colItems>
  <pageFields count="1">
    <pageField fld="7" hier="-1"/>
  </pageFields>
  <dataFields count="4">
    <dataField name="Sum of CostEstimate" fld="14" baseField="0" baseItem="1" numFmtId="164"/>
    <dataField name="Sum of CostAnnualO&amp;M" fld="15" baseField="0" baseItem="1" numFmtId="164"/>
    <dataField name="Sum of TNReduction(lbs/yr)" fld="10" baseField="0" baseItem="1" numFmtId="3"/>
    <dataField name="Sum of TPReduction(lbs/yr)" fld="11" baseField="0" baseItem="1" numFmtId="3"/>
  </dataFields>
  <formats count="4">
    <format dxfId="6">
      <pivotArea outline="0" collapsedLevelsAreSubtotals="1" fieldPosition="0">
        <references count="1">
          <reference field="4294967294" count="1" selected="0">
            <x v="0"/>
          </reference>
        </references>
      </pivotArea>
    </format>
    <format dxfId="5">
      <pivotArea outline="0" collapsedLevelsAreSubtotals="1" fieldPosition="0">
        <references count="1">
          <reference field="4294967294" count="1" selected="0">
            <x v="1"/>
          </reference>
        </references>
      </pivotArea>
    </format>
    <format dxfId="4">
      <pivotArea outline="0" collapsedLevelsAreSubtotals="1" fieldPosition="0">
        <references count="1">
          <reference field="4294967294" count="1" selected="0">
            <x v="2"/>
          </reference>
        </references>
      </pivotArea>
    </format>
    <format dxfId="3">
      <pivotArea outline="0" collapsedLevelsAreSubtotals="1" fieldPosition="0">
        <references count="1">
          <reference field="4294967294" count="1" selected="0">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23CA6515-0216-4B79-9489-888B8F566D27}" name="PivotTable5" cacheId="17"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E4" firstHeaderRow="0" firstDataRow="1" firstDataCol="0" rowPageCount="1" colPageCount="1"/>
  <pivotFields count="29">
    <pivotField showAll="0"/>
    <pivotField showAll="0"/>
    <pivotField showAll="0"/>
    <pivotField showAll="0"/>
    <pivotField showAll="0"/>
    <pivotField showAll="0"/>
    <pivotField showAll="0"/>
    <pivotField axis="axisPage" dataField="1" multipleItemSelectionAllowed="1" showAll="0">
      <items count="7">
        <item x="1"/>
        <item h="1" x="0"/>
        <item h="1" x="3"/>
        <item h="1" x="4"/>
        <item x="2"/>
        <item h="1" m="1" x="5"/>
        <item t="default"/>
      </items>
    </pivotField>
    <pivotField showAll="0"/>
    <pivotField showAll="0"/>
    <pivotField dataField="1" showAll="0"/>
    <pivotField dataField="1" showAll="0"/>
    <pivotField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2"/>
  </colFields>
  <colItems count="5">
    <i>
      <x/>
    </i>
    <i i="1">
      <x v="1"/>
    </i>
    <i i="2">
      <x v="2"/>
    </i>
    <i i="3">
      <x v="3"/>
    </i>
    <i i="4">
      <x v="4"/>
    </i>
  </colItems>
  <pageFields count="1">
    <pageField fld="7" hier="-1"/>
  </pageFields>
  <dataFields count="5">
    <dataField name="Sum of CostEstimate" fld="14" baseField="0" baseItem="1" numFmtId="164"/>
    <dataField name="Sum of CostAnnualO&amp;M" fld="15" baseField="0" baseItem="1" numFmtId="164"/>
    <dataField name="Sum of TNReduction(lbs/yr)" fld="10" baseField="0" baseItem="1" numFmtId="3"/>
    <dataField name="Sum of TPReduction(lbs/yr)" fld="11" baseField="0" baseItem="1" numFmtId="3"/>
    <dataField name="Count of ProjectStatus" fld="7" subtotal="count" baseField="0" baseItem="0" numFmtId="3"/>
  </dataFields>
  <formats count="5">
    <format dxfId="11">
      <pivotArea outline="0" collapsedLevelsAreSubtotals="1" fieldPosition="0">
        <references count="1">
          <reference field="4294967294" count="1" selected="0">
            <x v="0"/>
          </reference>
        </references>
      </pivotArea>
    </format>
    <format dxfId="10">
      <pivotArea outline="0" collapsedLevelsAreSubtotals="1" fieldPosition="0">
        <references count="1">
          <reference field="4294967294" count="1" selected="0">
            <x v="1"/>
          </reference>
        </references>
      </pivotArea>
    </format>
    <format dxfId="9">
      <pivotArea outline="0" collapsedLevelsAreSubtotals="1" fieldPosition="0">
        <references count="1">
          <reference field="4294967294" count="1" selected="0">
            <x v="2"/>
          </reference>
        </references>
      </pivotArea>
    </format>
    <format dxfId="8">
      <pivotArea outline="0" collapsedLevelsAreSubtotals="1" fieldPosition="0">
        <references count="1">
          <reference field="4294967294" count="1" selected="0">
            <x v="3"/>
          </reference>
        </references>
      </pivotArea>
    </format>
    <format dxfId="7">
      <pivotArea outline="0" collapsedLevelsAreSubtotals="1" fieldPosition="0">
        <references count="1">
          <reference field="4294967294" count="1" selected="0">
            <x v="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C9074989-FAA6-417D-BBC0-42B87E68DBB2}" name="PivotTable2" cacheId="18"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3:F23" firstHeaderRow="1" firstDataRow="2" firstDataCol="1"/>
  <pivotFields count="30">
    <pivotField showAll="0"/>
    <pivotField showAll="0"/>
    <pivotField showAll="0"/>
    <pivotField showAll="0"/>
    <pivotField showAll="0"/>
    <pivotField showAll="0"/>
    <pivotField showAll="0"/>
    <pivotField showAll="0"/>
    <pivotField axis="axisCol" dataField="1" showAll="0">
      <items count="6">
        <item x="1"/>
        <item x="2"/>
        <item x="0"/>
        <item x="3"/>
        <item h="1"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10">
        <item x="1"/>
        <item x="2"/>
        <item x="3"/>
        <item x="4"/>
        <item x="7"/>
        <item x="5"/>
        <item x="0"/>
        <item x="6"/>
        <item x="8"/>
        <item t="default"/>
      </items>
    </pivotField>
    <pivotField showAll="0"/>
    <pivotField showAll="0"/>
  </pivotFields>
  <rowFields count="1">
    <field x="27"/>
  </rowFields>
  <rowItems count="9">
    <i>
      <x/>
    </i>
    <i>
      <x v="1"/>
    </i>
    <i>
      <x v="2"/>
    </i>
    <i>
      <x v="3"/>
    </i>
    <i>
      <x v="4"/>
    </i>
    <i>
      <x v="5"/>
    </i>
    <i>
      <x v="6"/>
    </i>
    <i>
      <x v="7"/>
    </i>
    <i t="grand">
      <x/>
    </i>
  </rowItems>
  <colFields count="1">
    <field x="8"/>
  </colFields>
  <colItems count="5">
    <i>
      <x/>
    </i>
    <i>
      <x v="1"/>
    </i>
    <i>
      <x v="2"/>
    </i>
    <i>
      <x v="3"/>
    </i>
    <i t="grand">
      <x/>
    </i>
  </colItems>
  <dataFields count="1">
    <dataField name="Count of ProjectStatus" fld="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82D239D4-A19F-42DF-B0FA-70FDFEF48333}" name="PivotTable3" cacheId="18"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I3:J17" firstHeaderRow="1" firstDataRow="1" firstDataCol="1" rowPageCount="1" colPageCount="1"/>
  <pivotFields count="30">
    <pivotField showAll="0"/>
    <pivotField showAll="0"/>
    <pivotField showAll="0"/>
    <pivotField showAll="0"/>
    <pivotField showAll="0"/>
    <pivotField showAll="0"/>
    <pivotField showAll="0"/>
    <pivotField showAll="0"/>
    <pivotField axis="axisPage" multipleItemSelectionAllowed="1" showAll="0">
      <items count="6">
        <item x="1"/>
        <item x="2"/>
        <item h="1" x="0"/>
        <item h="1" x="3"/>
        <item h="1" x="4"/>
        <item t="default"/>
      </items>
    </pivotField>
    <pivotField showAll="0"/>
    <pivotField axis="axisRow" showAll="0">
      <items count="22">
        <item x="12"/>
        <item x="18"/>
        <item x="17"/>
        <item x="14"/>
        <item x="6"/>
        <item x="8"/>
        <item x="15"/>
        <item x="13"/>
        <item x="9"/>
        <item x="3"/>
        <item x="1"/>
        <item x="16"/>
        <item x="11"/>
        <item x="2"/>
        <item x="5"/>
        <item x="4"/>
        <item x="19"/>
        <item x="0"/>
        <item x="7"/>
        <item x="10"/>
        <item x="20"/>
        <item t="default"/>
      </items>
    </pivotField>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0"/>
  </rowFields>
  <rowItems count="14">
    <i>
      <x/>
    </i>
    <i>
      <x v="1"/>
    </i>
    <i>
      <x v="2"/>
    </i>
    <i>
      <x v="3"/>
    </i>
    <i>
      <x v="4"/>
    </i>
    <i>
      <x v="5"/>
    </i>
    <i>
      <x v="6"/>
    </i>
    <i>
      <x v="7"/>
    </i>
    <i>
      <x v="8"/>
    </i>
    <i>
      <x v="9"/>
    </i>
    <i>
      <x v="10"/>
    </i>
    <i>
      <x v="17"/>
    </i>
    <i>
      <x v="18"/>
    </i>
    <i t="grand">
      <x/>
    </i>
  </rowItems>
  <colItems count="1">
    <i/>
  </colItems>
  <pageFields count="1">
    <pageField fld="8" hier="-1"/>
  </pageFields>
  <dataFields count="1">
    <dataField name="Sum of TNReduction(lbs/yr)" fld="11" baseField="0" baseItem="1670826240" numFmtId="3"/>
  </dataFields>
  <formats count="3">
    <format dxfId="2">
      <pivotArea outline="0" collapsedLevelsAreSubtotals="1" fieldPosition="0"/>
    </format>
    <format dxfId="1">
      <pivotArea dataOnly="0" labelOnly="1" outline="0" fieldPosition="0">
        <references count="1">
          <reference field="8" count="0"/>
        </references>
      </pivotArea>
    </format>
    <format dxfId="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2B5E890D-FD1A-42DB-A53B-27132C6318A9}" name="PivotTable11" cacheId="1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N1:N2" firstHeaderRow="1" firstDataRow="1" firstDataCol="0"/>
  <pivotFields count="1">
    <pivotField dataField="1" showAll="0"/>
  </pivotFields>
  <rowItems count="1">
    <i/>
  </rowItems>
  <colItems count="1">
    <i/>
  </colItems>
  <dataFields count="1">
    <dataField name="Count of ProjID"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4AECF96D-C533-487F-9B6C-F2E60F1B43F4}" name="PivotTable10" cacheId="1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K1:K2" firstHeaderRow="1" firstDataRow="1" firstDataCol="0"/>
  <pivotFields count="1">
    <pivotField dataField="1" showAll="0"/>
  </pivotFields>
  <rowItems count="1">
    <i/>
  </rowItems>
  <colItems count="1">
    <i/>
  </colItems>
  <dataFields count="1">
    <dataField name="Sum of ProjID" fld="0" baseField="0" baseItem="123097856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4ECC0E56-A6B7-44FB-80CC-A4E5A682A4EF}" name="PivotTable3" cacheId="22" applyNumberFormats="0" applyBorderFormats="0" applyFontFormats="0" applyPatternFormats="0" applyAlignmentFormats="0" applyWidthHeightFormats="1" dataCaption="Values" updatedVersion="6" minRefreshableVersion="3" useAutoFormatting="1" itemPrintTitles="1" createdVersion="6" indent="0" compact="0" compactData="0" multipleFieldFilters="0">
  <location ref="A3:F35" firstHeaderRow="1" firstDataRow="2" firstDataCol="1"/>
  <pivotFields count="31">
    <pivotField compact="0" outline="0" showAll="0"/>
    <pivotField compact="0" outline="0" showAll="0"/>
    <pivotField axis="axisRow" compact="0" outline="0" showAll="0">
      <items count="32">
        <item x="0"/>
        <item x="4"/>
        <item x="2"/>
        <item x="6"/>
        <item x="15"/>
        <item x="21"/>
        <item x="23"/>
        <item x="3"/>
        <item x="7"/>
        <item x="1"/>
        <item x="5"/>
        <item x="8"/>
        <item x="10"/>
        <item x="11"/>
        <item x="12"/>
        <item x="13"/>
        <item x="14"/>
        <item x="17"/>
        <item x="16"/>
        <item x="9"/>
        <item x="18"/>
        <item x="19"/>
        <item x="20"/>
        <item x="22"/>
        <item x="28"/>
        <item x="29"/>
        <item x="24"/>
        <item x="25"/>
        <item x="26"/>
        <item x="27"/>
        <item h="1" x="30"/>
        <item t="default"/>
      </items>
    </pivotField>
    <pivotField compact="0" outline="0" showAll="0"/>
    <pivotField dataField="1" compact="0" outline="0" showAll="0"/>
    <pivotField compact="0" outline="0" showAll="0"/>
    <pivotField compact="0" outline="0" showAll="0"/>
    <pivotField compact="0" outline="0" showAll="0"/>
    <pivotField axis="axisCol" compact="0" outline="0" showAll="0">
      <items count="6">
        <item x="1"/>
        <item x="2"/>
        <item x="0"/>
        <item x="3"/>
        <item h="1" x="4"/>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1">
    <field x="2"/>
  </rowFields>
  <rowItems count="3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t="grand">
      <x/>
    </i>
  </rowItems>
  <colFields count="1">
    <field x="8"/>
  </colFields>
  <colItems count="5">
    <i>
      <x/>
    </i>
    <i>
      <x v="1"/>
    </i>
    <i>
      <x v="2"/>
    </i>
    <i>
      <x v="3"/>
    </i>
    <i t="grand">
      <x/>
    </i>
  </colItems>
  <dataFields count="1">
    <dataField name="Count of ProjectNumber" fld="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27" dT="2020-09-11T12:53:18.05" personId="{5069974F-5301-4CA4-A629-859D2146D330}" id="{D14F8558-6A53-46D3-B991-F4253BD55CED}">
    <text>Previously listed as 1084</text>
  </threadedComment>
  <threadedComment ref="L29" dT="2020-09-11T12:55:29.47" personId="{5069974F-5301-4CA4-A629-859D2146D330}" id="{82DBF865-5DF3-41B1-8A41-12A0509644FC}">
    <text>Previously listed as 590</text>
  </threadedComment>
  <threadedComment ref="L31" dT="2020-09-11T12:57:12.92" personId="{5069974F-5301-4CA4-A629-859D2146D330}" id="{841A097F-162A-44B6-A551-A18390AE2CFD}">
    <text>Previously listed as 48,000</text>
  </threadedComment>
  <threadedComment ref="L117" dT="2020-09-11T13:21:26.37" personId="{5069974F-5301-4CA4-A629-859D2146D330}" id="{ED42692B-4B22-49C8-8C88-A59C6DDE7668}">
    <text>Previously listed as 40</text>
  </threadedComment>
  <threadedComment ref="L120" dT="2020-08-21T21:56:55.78" personId="{2686C7DE-5EB3-48DD-9EC1-52D15048786C}" id="{6A137751-CF04-4BCE-86B1-0C94FD89B0AA}">
    <text>We have updated credits for this project but need to verify the credit split with Lee County prior to adding them to this workbook</text>
  </threadedComment>
  <threadedComment ref="L120" dT="2020-09-10T19:02:52.19" personId="{5069974F-5301-4CA4-A629-859D2146D330}" id="{D69A21B7-82AF-4D55-9F04-5A3E0F4238AF}" parentId="{6A137751-CF04-4BCE-86B1-0C94FD89B0AA}">
    <text>4,025 previously listed. Changed to TBD per 08.11.2020 workbook.</text>
  </threadedComment>
  <threadedComment ref="L120" dT="2020-09-14T20:37:54.96" personId="{5069974F-5301-4CA4-A629-859D2146D330}" id="{2C79A47D-ACFF-4D70-84A6-60050FB6646C}" parentId="{6A137751-CF04-4BCE-86B1-0C94FD89B0AA}">
    <text>Applied 60/40 split FM-06 and LC-24 according to new calculations in Project Credit Calcs workbook and email from BR on 091120</text>
  </threadedComment>
  <threadedComment ref="L147" dT="2020-09-11T17:13:41.14" personId="{5069974F-5301-4CA4-A629-859D2146D330}" id="{87021DC3-D845-407D-91ED-3A88D68D785E}">
    <text>Previously listed at 4682.</text>
  </threadedComment>
  <threadedComment ref="V151" dT="2020-05-14T16:51:35.92" personId="{49118D26-0D5F-46A7-AE6E-8F0321FB1DEA}" id="{244D8211-94A1-4DD0-AEA6-9508BD193322}">
    <text>Converted coordinate into decimal degrees</text>
  </threadedComment>
  <threadedComment ref="W151" dT="2020-05-14T16:51:48.29" personId="{49118D26-0D5F-46A7-AE6E-8F0321FB1DEA}" id="{AFF9DD1F-94A6-496F-815F-056D3A071A53}">
    <text>Converted coordinate into decimal degrees</text>
  </threadedComment>
  <threadedComment ref="L153" dT="2020-09-11T17:14:58.88" personId="{5069974F-5301-4CA4-A629-859D2146D330}" id="{6C254102-8795-4DAE-BB32-822EFCFF8449}">
    <text>Previously listed as 2015</text>
  </threadedComment>
  <threadedComment ref="K156" dT="2020-08-19T18:26:44.62" personId="{5069974F-5301-4CA4-A629-859D2146D330}" id="{A57F63FD-D7E3-421C-A1D2-FDE380A0C10A}">
    <text>Since these were entered in 2012 and are based on land use changes from the model, I have entered 2019. The date cannot be listed as N/A and the status cannot be ongoing.</text>
  </threadedComment>
  <threadedComment ref="P156" personId="{F0418094-9BC4-4810-9824-AF2F98367794}" id="{6A7B40DF-F642-4D3F-8B17-79706D66ED13}">
    <text xml:space="preserve">Nomination 156
</text>
  </threadedComment>
  <threadedComment ref="S168" personId="{F0418094-9BC4-4810-9824-AF2F98367794}" id="{7C40ACD2-EEE8-42F6-996A-EC5369D14227}">
    <text>Nomination 138</text>
  </threadedComment>
  <threadedComment ref="P169" personId="{F0418094-9BC4-4810-9824-AF2F98367794}" id="{6829574B-1180-4F46-8D3D-101E61C568D3}">
    <text>FYN - $90,000/yr              Fert Ord  - $58,000/yr     Illicit discharge program- $244,441/yr</text>
  </threadedComment>
  <threadedComment ref="P170" personId="{F0418094-9BC4-4810-9824-AF2F98367794}" id="{0E139600-778D-4AEF-9974-6504544AC1F4}">
    <text>$550/mile * 1262.138 miles in 2016 reporting period</text>
  </threadedComment>
  <threadedComment ref="P171" personId="{F0418094-9BC4-4810-9824-AF2F98367794}" id="{A0024AC7-1EF1-4ABC-9523-F6C0896E813F}">
    <text>Cost figure is for both LC-17 and LC-20: O &amp; M is average cost</text>
  </threadedComment>
  <threadedComment ref="P174" personId="{F0418094-9BC4-4810-9824-AF2F98367794}" id="{23144CA5-32AB-47D8-99B7-89F464B48D9C}">
    <text>See comments for LC-17, Powell Creek Extension: cost is land acquisition cost: O &amp; M is average cost</text>
  </threadedComment>
  <threadedComment ref="P175" personId="{F0418094-9BC4-4810-9824-AF2F98367794}" id="{03B1E956-13C1-4ADF-93B1-E4CD653BC762}">
    <text>Cost is estimate</text>
  </threadedComment>
  <threadedComment ref="L179" dT="2020-08-21T21:57:12.04" personId="{2686C7DE-5EB3-48DD-9EC1-52D15048786C}" id="{8F68E9F7-3494-4175-9011-D1AA88C405DA}">
    <text>We have updated credits for this project but need to verify the credit split with Fort Myers prior to adding them to this workbook</text>
  </threadedComment>
  <threadedComment ref="L179" dT="2020-09-14T20:38:06.10" personId="{5069974F-5301-4CA4-A629-859D2146D330}" id="{73537E3B-5A3C-4537-8203-A938CD1FA110}" parentId="{8F68E9F7-3494-4175-9011-D1AA88C405DA}">
    <text>Applied 60/40 split FM-06 and LC-24 according to new calculations in Project Credit Calcs workbook and email from BR on 091120</text>
  </threadedComment>
  <threadedComment ref="P179" personId="{F0418094-9BC4-4810-9824-AF2F98367794}" id="{F111DB4F-5A5F-485A-9EE1-7C4E3EAC94D5}">
    <text>Cost is land acquisition cost</text>
  </threadedComment>
  <threadedComment ref="E181" dT="2021-02-26T16:43:31.37" personId="{2686C7DE-5EB3-48DD-9EC1-52D15048786C}" id="{F12E3E7E-1710-40C4-AAA2-A53B8C8CC452}">
    <text>Maria sent us an updated treatment area shp on 2/26, Marcy did the recalcs</text>
  </threadedComment>
  <threadedComment ref="L191" dT="2020-09-11T18:06:31.78" personId="{5069974F-5301-4CA4-A629-859D2146D330}" id="{4DFB33AA-2208-40C7-8E98-E2F0637B5348}">
    <text>Previously 16,185</text>
  </threadedComment>
  <threadedComment ref="P192" personId="{F0418094-9BC4-4810-9824-AF2F98367794}" id="{42EED2D6-E0F4-4EA2-9F6D-3B26E329AE04}">
    <text>Cost was Lee County's contribution towards project to defray SFWMD land acquisition costs</text>
  </threadedComment>
  <threadedComment ref="P195" personId="{F0418094-9BC4-4810-9824-AF2F98367794}" id="{2B8F2FD9-9D69-43C7-94B3-22D1573C5B57}">
    <text xml:space="preserve">cost captures study only </text>
  </threadedComment>
  <threadedComment ref="P196" personId="{F0418094-9BC4-4810-9824-AF2F98367794}" id="{BA7ACD8A-9C51-428E-8F56-A8342E579BAE}">
    <text xml:space="preserve">cost captures study only </text>
  </threadedComment>
  <threadedComment ref="P197" personId="{F0418094-9BC4-4810-9824-AF2F98367794}" id="{B26A3F96-AD4A-440E-8739-698701A55133}">
    <text>cost is estimate</text>
  </threadedComment>
  <threadedComment ref="J227" dT="2021-02-18T22:56:45.23" personId="{2686C7DE-5EB3-48DD-9EC1-52D15048786C}" id="{747FADE8-7649-425C-91DF-238999E5F737}">
    <text>Edited to be year instead of specific date</text>
  </threadedComment>
</ThreadedComments>
</file>

<file path=xl/threadedComments/threadedComment2.xml><?xml version="1.0" encoding="utf-8"?>
<ThreadedComments xmlns="http://schemas.microsoft.com/office/spreadsheetml/2018/threadedcomments" xmlns:x="http://schemas.openxmlformats.org/spreadsheetml/2006/main">
  <threadedComment ref="L27" dT="2020-09-11T12:53:18.05" personId="{5069974F-5301-4CA4-A629-859D2146D330}" id="{FA8EBF84-37AA-4322-AB3F-6EC5B4D8AC5B}">
    <text>Previously listed as 1084</text>
  </threadedComment>
  <threadedComment ref="L29" dT="2020-09-11T12:55:29.47" personId="{5069974F-5301-4CA4-A629-859D2146D330}" id="{26134CEC-9ACD-449C-B469-D3BB03B7C4AA}">
    <text>Previously listed as 590</text>
  </threadedComment>
  <threadedComment ref="L31" dT="2020-09-11T12:57:12.92" personId="{5069974F-5301-4CA4-A629-859D2146D330}" id="{8C829287-886D-4CA8-ACF9-C250CD1604E7}">
    <text>Previously listed as 48,000</text>
  </threadedComment>
  <threadedComment ref="L111" dT="2020-09-11T13:21:26.37" personId="{5069974F-5301-4CA4-A629-859D2146D330}" id="{7BC98813-D17C-46D3-849F-5D0826079EF5}">
    <text>Previously listed as 40</text>
  </threadedComment>
  <threadedComment ref="L114" dT="2020-08-21T21:56:55.78" personId="{2686C7DE-5EB3-48DD-9EC1-52D15048786C}" id="{66A10574-96D6-4FDA-AD5E-4505FA759470}">
    <text>We have updated credits for this project but need to verify the credit split with Lee County prior to adding them to this workbook</text>
  </threadedComment>
  <threadedComment ref="L114" dT="2020-09-10T19:02:52.19" personId="{5069974F-5301-4CA4-A629-859D2146D330}" id="{B6E715BC-F7DA-4D03-8724-B33DB1F9FBE1}" parentId="{66A10574-96D6-4FDA-AD5E-4505FA759470}">
    <text>4,025 previously listed. Changed to TBD per 08.11.2020 workbook.</text>
  </threadedComment>
  <threadedComment ref="L114" dT="2020-09-14T20:37:54.96" personId="{5069974F-5301-4CA4-A629-859D2146D330}" id="{AAC76084-EBDC-4245-92E1-6F51E75A38DA}" parentId="{66A10574-96D6-4FDA-AD5E-4505FA759470}">
    <text>Applied 60/40 split FM-06 and LC-24 according to new calculations in Project Credit Calcs workbook and email from BR on 091120</text>
  </threadedComment>
  <threadedComment ref="L141" dT="2020-09-11T17:13:41.14" personId="{5069974F-5301-4CA4-A629-859D2146D330}" id="{52DE2EB2-1112-4E4A-83DF-5B0759AADC89}">
    <text>Previously listed at 4682.</text>
  </threadedComment>
  <threadedComment ref="V145" dT="2020-05-14T16:51:35.92" personId="{49118D26-0D5F-46A7-AE6E-8F0321FB1DEA}" id="{C6A92824-A812-4BA7-AE2B-BF9184C55507}">
    <text>Converted coordinate into decimal degrees</text>
  </threadedComment>
  <threadedComment ref="W145" dT="2020-05-14T16:51:48.29" personId="{49118D26-0D5F-46A7-AE6E-8F0321FB1DEA}" id="{70E42A65-1FD3-46D6-8D30-ACCBC4981F55}">
    <text>Converted coordinate into decimal degrees</text>
  </threadedComment>
  <threadedComment ref="L147" dT="2020-09-11T17:14:58.88" personId="{5069974F-5301-4CA4-A629-859D2146D330}" id="{C6C437C8-A67D-4F78-AD33-A23AE2CE894E}">
    <text>Previously listed as 2015</text>
  </threadedComment>
  <threadedComment ref="K150" dT="2020-08-19T18:26:44.62" personId="{5069974F-5301-4CA4-A629-859D2146D330}" id="{C0554685-38FB-4103-AF3F-92B7E845EC36}">
    <text>Since these were entered in 2012 and are based on land use changes from the model, I have entered 2019. The date cannot be listed as N/A and the status cannot be ongoing.</text>
  </threadedComment>
  <threadedComment ref="P150" personId="{F0418094-9BC4-4810-9824-AF2F98367794}" id="{7D184225-0BFF-4238-89FD-B4342FD2D599}">
    <text xml:space="preserve">Nomination 156
</text>
  </threadedComment>
  <threadedComment ref="S162" personId="{F0418094-9BC4-4810-9824-AF2F98367794}" id="{6FFF48FF-0756-407D-BF6C-D3059CA3CD9E}">
    <text>Nomination 138</text>
  </threadedComment>
  <threadedComment ref="P163" personId="{F0418094-9BC4-4810-9824-AF2F98367794}" id="{33104E6D-C4FF-4DA9-9A88-D6C1D1F4BA4C}">
    <text>FYN - $90,000/yr              Fert Ord  - $58,000/yr     Illicit discharge program- $244,441/yr</text>
  </threadedComment>
  <threadedComment ref="P164" personId="{F0418094-9BC4-4810-9824-AF2F98367794}" id="{CEF1A2A7-F13F-4CB5-AB8A-40863B8FAB17}">
    <text>$550/mile * 1262.138 miles in 2016 reporting period</text>
  </threadedComment>
  <threadedComment ref="P165" personId="{F0418094-9BC4-4810-9824-AF2F98367794}" id="{775271B7-B778-4980-B6E2-3C5867DB9565}">
    <text>Cost figure is for both LC-17 and LC-20: O &amp; M is average cost</text>
  </threadedComment>
  <threadedComment ref="P168" personId="{F0418094-9BC4-4810-9824-AF2F98367794}" id="{D01818F8-3409-44F8-B460-D1ADC70D99AC}">
    <text>See comments for LC-17, Powell Creek Extension: cost is land acquisition cost: O &amp; M is average cost</text>
  </threadedComment>
  <threadedComment ref="P169" personId="{F0418094-9BC4-4810-9824-AF2F98367794}" id="{823106E4-7537-404A-A6B1-803B207D51EF}">
    <text>Cost is estimate</text>
  </threadedComment>
  <threadedComment ref="L172" dT="2020-08-21T21:57:12.04" personId="{2686C7DE-5EB3-48DD-9EC1-52D15048786C}" id="{342C69E1-6F70-4E9D-B352-096415308D94}">
    <text>We have updated credits for this project but need to verify the credit split with Fort Myers prior to adding them to this workbook</text>
  </threadedComment>
  <threadedComment ref="L172" dT="2020-09-14T20:38:06.10" personId="{5069974F-5301-4CA4-A629-859D2146D330}" id="{C723A968-9A9F-45B3-B3EB-7EF7AD9A3961}" parentId="{342C69E1-6F70-4E9D-B352-096415308D94}">
    <text>Applied 60/40 split FM-06 and LC-24 according to new calculations in Project Credit Calcs workbook and email from BR on 091120</text>
  </threadedComment>
  <threadedComment ref="P172" personId="{F0418094-9BC4-4810-9824-AF2F98367794}" id="{647912B2-6BA9-40BC-B31F-CB424E24C96C}">
    <text>Cost is land acquisition cost</text>
  </threadedComment>
  <threadedComment ref="E174" dT="2021-02-26T16:43:31.37" personId="{2686C7DE-5EB3-48DD-9EC1-52D15048786C}" id="{3FDE57FE-C008-43DC-9088-E241B2DA40DB}">
    <text>Maria sent us an updated treatment area shp on 2/26, Marcy did the recalcs</text>
  </threadedComment>
  <threadedComment ref="L182" dT="2020-09-11T18:06:31.78" personId="{5069974F-5301-4CA4-A629-859D2146D330}" id="{DA7E9B41-EA78-4F74-A504-C7C102F24F8A}">
    <text>Previously 16,185</text>
  </threadedComment>
  <threadedComment ref="P183" personId="{F0418094-9BC4-4810-9824-AF2F98367794}" id="{B3C6BFE2-C523-4965-9326-AC8122EA3694}">
    <text>Cost was Lee County's contribution towards project to defray SFWMD land acquisition costs</text>
  </threadedComment>
  <threadedComment ref="P186" personId="{F0418094-9BC4-4810-9824-AF2F98367794}" id="{EFE2519F-D6CD-4D47-993C-1258DE582861}">
    <text xml:space="preserve">cost captures study only </text>
  </threadedComment>
  <threadedComment ref="P187" personId="{F0418094-9BC4-4810-9824-AF2F98367794}" id="{841C432D-B32E-4A7E-92B9-16833339525A}">
    <text xml:space="preserve">cost captures study only </text>
  </threadedComment>
  <threadedComment ref="P188" personId="{F0418094-9BC4-4810-9824-AF2F98367794}" id="{3CA6DAFC-44C9-4F19-B343-359CD107A906}">
    <text>cost is estimate</text>
  </threadedComment>
</ThreadedComments>
</file>

<file path=xl/threadedComments/threadedComment3.xml><?xml version="1.0" encoding="utf-8"?>
<ThreadedComments xmlns="http://schemas.microsoft.com/office/spreadsheetml/2018/threadedcomments" xmlns:x="http://schemas.openxmlformats.org/spreadsheetml/2006/main">
  <threadedComment ref="K3" personId="{F0418094-9BC4-4810-9824-AF2F98367794}" id="{47632928-AB9E-4C93-B77C-377A7B8C6640}">
    <text>Up to 64,067 depending upon location and number of facilities</text>
  </threadedComment>
  <threadedComment ref="V4" personId="{F0418094-9BC4-4810-9824-AF2F98367794}" id="{5988B0E7-79AB-402F-8E06-6A1E4AC25AAF}">
    <text>All figures (reduction, cost) are  for maximum estimated reduction.  Land costs not included</text>
  </threadedComment>
  <threadedComment ref="K5" personId="{F0418094-9BC4-4810-9824-AF2F98367794}" id="{60F8295A-7C03-430E-A769-BC1BD5ACDB6B}">
    <text>Nomination 257-2</text>
  </threadedComment>
  <threadedComment ref="M7" personId="{F0418094-9BC4-4810-9824-AF2F98367794}" id="{33E52339-F33F-4CC7-B99A-212862F76F51}">
    <text>cost is land acquisition cost only; construction cost TBD</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8AE280AB-0EC3-4D3C-9CDD-50117AFC97DD}">
  <we:reference id="wa104379727" version="1.0.0.0" store="en-US" storeType="OMEX"/>
  <we:alternateReferences>
    <we:reference id="wa104379727" version="1.0.0.0" store="wa104379727" storeType="OMEX"/>
  </we:alternateReferences>
  <we:properties/>
  <we:bindings>
    <we:binding id="Range" type="matrix" appref="{57D8F50E-4D35-430A-B57B-1AB1D6DA8370}"/>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2.bin"/><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customProperty" Target="../customProperty3.bin"/><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3" Type="http://schemas.openxmlformats.org/officeDocument/2006/relationships/pivotTable" Target="../pivotTables/pivotTable5.xml"/><Relationship Id="rId2" Type="http://schemas.openxmlformats.org/officeDocument/2006/relationships/pivotTable" Target="../pivotTables/pivotTable4.xml"/><Relationship Id="rId1" Type="http://schemas.openxmlformats.org/officeDocument/2006/relationships/pivotTable" Target="../pivotTables/pivotTable3.xml"/><Relationship Id="rId5" Type="http://schemas.openxmlformats.org/officeDocument/2006/relationships/customProperty" Target="../customProperty5.bin"/><Relationship Id="rId4"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6.bin"/><Relationship Id="rId1" Type="http://schemas.openxmlformats.org/officeDocument/2006/relationships/printerSettings" Target="../printerSettings/printerSettings5.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customProperty" Target="../customProperty7.bin"/><Relationship Id="rId2" Type="http://schemas.openxmlformats.org/officeDocument/2006/relationships/printerSettings" Target="../printerSettings/printerSettings6.bin"/><Relationship Id="rId1" Type="http://schemas.openxmlformats.org/officeDocument/2006/relationships/pivotTable" Target="../pivotTables/pivotTable6.xml"/><Relationship Id="rId4"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pivotTable" Target="../pivotTables/pivotTable8.xml"/><Relationship Id="rId1" Type="http://schemas.openxmlformats.org/officeDocument/2006/relationships/pivotTable" Target="../pivotTables/pivotTable7.xml"/></Relationships>
</file>

<file path=xl/worksheets/_rels/sheet9.xml.rels><?xml version="1.0" encoding="UTF-8" standalone="yes"?>
<Relationships xmlns="http://schemas.openxmlformats.org/package/2006/relationships"><Relationship Id="rId1" Type="http://schemas.openxmlformats.org/officeDocument/2006/relationships/pivotTable" Target="../pivotTables/pivot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3"/>
  <sheetViews>
    <sheetView topLeftCell="A16" workbookViewId="0">
      <selection activeCell="A44" sqref="A44"/>
    </sheetView>
  </sheetViews>
  <sheetFormatPr defaultRowHeight="14.4" x14ac:dyDescent="0.3"/>
  <cols>
    <col min="1" max="1" width="9.33203125" customWidth="1"/>
    <col min="2" max="2" width="38.6640625" customWidth="1"/>
    <col min="16" max="16" width="14.44140625" customWidth="1"/>
  </cols>
  <sheetData>
    <row r="1" spans="1:2" x14ac:dyDescent="0.3">
      <c r="A1" s="12" t="s">
        <v>124</v>
      </c>
    </row>
    <row r="3" spans="1:2" x14ac:dyDescent="0.3">
      <c r="A3" t="s">
        <v>133</v>
      </c>
    </row>
    <row r="4" spans="1:2" x14ac:dyDescent="0.3">
      <c r="A4" t="s">
        <v>136</v>
      </c>
    </row>
    <row r="5" spans="1:2" ht="43.2" x14ac:dyDescent="0.3">
      <c r="A5" s="16"/>
      <c r="B5" s="4" t="s">
        <v>135</v>
      </c>
    </row>
    <row r="6" spans="1:2" x14ac:dyDescent="0.3">
      <c r="A6" s="20" t="s">
        <v>137</v>
      </c>
      <c r="B6" s="4"/>
    </row>
    <row r="7" spans="1:2" x14ac:dyDescent="0.3">
      <c r="A7" s="20" t="s">
        <v>138</v>
      </c>
      <c r="B7" s="4"/>
    </row>
    <row r="8" spans="1:2" x14ac:dyDescent="0.3">
      <c r="A8" s="20" t="s">
        <v>238</v>
      </c>
      <c r="B8" s="4"/>
    </row>
    <row r="9" spans="1:2" x14ac:dyDescent="0.3">
      <c r="A9" s="20" t="s">
        <v>244</v>
      </c>
    </row>
    <row r="10" spans="1:2" x14ac:dyDescent="0.3">
      <c r="A10" s="20" t="s">
        <v>245</v>
      </c>
    </row>
    <row r="11" spans="1:2" x14ac:dyDescent="0.3">
      <c r="A11" s="20" t="s">
        <v>248</v>
      </c>
    </row>
    <row r="12" spans="1:2" x14ac:dyDescent="0.3">
      <c r="A12" s="20" t="s">
        <v>247</v>
      </c>
    </row>
    <row r="13" spans="1:2" x14ac:dyDescent="0.3">
      <c r="A13" t="s">
        <v>250</v>
      </c>
    </row>
    <row r="14" spans="1:2" x14ac:dyDescent="0.3">
      <c r="A14" t="s">
        <v>251</v>
      </c>
    </row>
    <row r="15" spans="1:2" x14ac:dyDescent="0.3">
      <c r="A15" t="s">
        <v>269</v>
      </c>
    </row>
    <row r="16" spans="1:2" x14ac:dyDescent="0.3">
      <c r="A16" t="s">
        <v>275</v>
      </c>
    </row>
    <row r="17" spans="1:13" x14ac:dyDescent="0.3">
      <c r="A17" t="s">
        <v>286</v>
      </c>
    </row>
    <row r="18" spans="1:13" x14ac:dyDescent="0.3">
      <c r="A18" t="s">
        <v>284</v>
      </c>
    </row>
    <row r="19" spans="1:13" x14ac:dyDescent="0.3">
      <c r="A19" t="s">
        <v>285</v>
      </c>
    </row>
    <row r="20" spans="1:13" x14ac:dyDescent="0.3">
      <c r="A20" t="s">
        <v>287</v>
      </c>
    </row>
    <row r="21" spans="1:13" x14ac:dyDescent="0.3">
      <c r="A21" s="37" t="s">
        <v>293</v>
      </c>
      <c r="B21" s="37"/>
    </row>
    <row r="22" spans="1:13" x14ac:dyDescent="0.3">
      <c r="A22" s="37" t="s">
        <v>317</v>
      </c>
      <c r="B22" s="37"/>
      <c r="C22" s="37"/>
      <c r="D22" s="37"/>
    </row>
    <row r="23" spans="1:13" x14ac:dyDescent="0.3">
      <c r="A23" s="37" t="s">
        <v>327</v>
      </c>
      <c r="B23" s="37"/>
      <c r="C23" s="37"/>
      <c r="D23" s="37"/>
      <c r="E23" s="37"/>
      <c r="F23" s="37"/>
    </row>
    <row r="24" spans="1:13" x14ac:dyDescent="0.3">
      <c r="A24" t="s">
        <v>330</v>
      </c>
    </row>
    <row r="25" spans="1:13" x14ac:dyDescent="0.3">
      <c r="A25" s="37" t="s">
        <v>400</v>
      </c>
    </row>
    <row r="26" spans="1:13" s="40" customFormat="1" x14ac:dyDescent="0.3">
      <c r="A26" s="20" t="s">
        <v>401</v>
      </c>
      <c r="B26" s="20"/>
      <c r="C26" s="20"/>
      <c r="D26" s="20"/>
      <c r="E26" s="20"/>
      <c r="F26" s="20"/>
      <c r="G26" s="20"/>
      <c r="H26" s="20"/>
      <c r="I26" s="20"/>
      <c r="J26" s="20"/>
      <c r="K26" s="20"/>
      <c r="L26" s="20"/>
      <c r="M26" s="20"/>
    </row>
    <row r="27" spans="1:13" x14ac:dyDescent="0.3">
      <c r="A27" s="37" t="s">
        <v>404</v>
      </c>
      <c r="G27" s="41"/>
    </row>
    <row r="28" spans="1:13" x14ac:dyDescent="0.3">
      <c r="A28" t="s">
        <v>405</v>
      </c>
    </row>
    <row r="29" spans="1:13" x14ac:dyDescent="0.3">
      <c r="A29" t="s">
        <v>440</v>
      </c>
    </row>
    <row r="30" spans="1:13" x14ac:dyDescent="0.3">
      <c r="A30" s="48" t="s">
        <v>598</v>
      </c>
      <c r="B30" s="48"/>
      <c r="C30" s="48"/>
    </row>
    <row r="31" spans="1:13" x14ac:dyDescent="0.3">
      <c r="A31" t="s">
        <v>599</v>
      </c>
    </row>
    <row r="32" spans="1:13" x14ac:dyDescent="0.3">
      <c r="A32" t="s">
        <v>718</v>
      </c>
      <c r="D32" s="51"/>
      <c r="E32" s="51"/>
      <c r="F32" s="51"/>
      <c r="G32" s="51"/>
      <c r="H32" s="51"/>
      <c r="I32" s="51"/>
      <c r="J32" s="51"/>
    </row>
    <row r="33" spans="1:19" x14ac:dyDescent="0.3">
      <c r="A33" t="s">
        <v>746</v>
      </c>
      <c r="B33" s="55"/>
    </row>
    <row r="34" spans="1:19" x14ac:dyDescent="0.3">
      <c r="A34" t="s">
        <v>753</v>
      </c>
    </row>
    <row r="35" spans="1:19" x14ac:dyDescent="0.3">
      <c r="A35" s="58" t="s">
        <v>754</v>
      </c>
      <c r="B35" s="58"/>
      <c r="C35" s="58"/>
      <c r="D35" s="58"/>
      <c r="E35" s="58"/>
      <c r="F35" s="58"/>
      <c r="G35" s="58"/>
      <c r="H35" s="58"/>
      <c r="I35" s="58"/>
      <c r="J35" s="58"/>
      <c r="K35" s="58"/>
      <c r="L35" s="58"/>
      <c r="M35" s="58"/>
      <c r="N35" s="58"/>
      <c r="O35" s="58"/>
      <c r="P35" s="58"/>
      <c r="Q35" s="58"/>
      <c r="R35" s="58"/>
      <c r="S35" s="58"/>
    </row>
    <row r="36" spans="1:19" x14ac:dyDescent="0.3">
      <c r="A36" s="60" t="s">
        <v>756</v>
      </c>
      <c r="B36" s="60"/>
      <c r="C36" s="60"/>
      <c r="D36" s="60"/>
      <c r="E36" s="60"/>
      <c r="F36" s="60"/>
      <c r="G36" s="60"/>
      <c r="H36" s="60"/>
      <c r="I36" s="60"/>
      <c r="J36" s="60"/>
      <c r="K36" s="60"/>
      <c r="L36" s="60"/>
    </row>
    <row r="37" spans="1:19" x14ac:dyDescent="0.3">
      <c r="A37" s="63" t="s">
        <v>758</v>
      </c>
    </row>
    <row r="38" spans="1:19" x14ac:dyDescent="0.3">
      <c r="A38" s="64" t="s">
        <v>759</v>
      </c>
      <c r="B38" s="64"/>
      <c r="C38" s="64"/>
    </row>
    <row r="39" spans="1:19" x14ac:dyDescent="0.3">
      <c r="A39" s="65" t="s">
        <v>792</v>
      </c>
      <c r="B39" s="65"/>
    </row>
    <row r="40" spans="1:19" x14ac:dyDescent="0.3">
      <c r="A40" t="s">
        <v>826</v>
      </c>
    </row>
    <row r="41" spans="1:19" x14ac:dyDescent="0.3">
      <c r="A41" s="51" t="s">
        <v>834</v>
      </c>
      <c r="M41" s="60"/>
      <c r="P41" s="114"/>
    </row>
    <row r="42" spans="1:19" x14ac:dyDescent="0.3">
      <c r="A42" t="s">
        <v>1028</v>
      </c>
      <c r="F42" s="158"/>
      <c r="G42" s="158"/>
    </row>
    <row r="43" spans="1:19" x14ac:dyDescent="0.3">
      <c r="A43" t="s">
        <v>1031</v>
      </c>
    </row>
  </sheetData>
  <pageMargins left="0.7" right="0.7" top="0.75" bottom="0.75" header="0.3" footer="0.3"/>
  <pageSetup orientation="portrait" r:id="rId1"/>
  <customProperties>
    <customPr name="LastActive" r:id="rId2"/>
  </customPropertie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256"/>
  <sheetViews>
    <sheetView zoomScale="90" zoomScaleNormal="90" workbookViewId="0">
      <pane ySplit="1" topLeftCell="A2" activePane="bottomLeft" state="frozen"/>
      <selection pane="bottomLeft" sqref="A1:XFD1048576"/>
    </sheetView>
  </sheetViews>
  <sheetFormatPr defaultColWidth="36.5546875" defaultRowHeight="13.2" x14ac:dyDescent="0.3"/>
  <cols>
    <col min="1" max="1" width="9.44140625" style="103" customWidth="1"/>
    <col min="2" max="2" width="11.6640625" style="103" bestFit="1" customWidth="1"/>
    <col min="3" max="3" width="15.6640625" style="103" customWidth="1"/>
    <col min="4" max="4" width="17.109375" style="103" customWidth="1"/>
    <col min="5" max="5" width="18.88671875" style="103" bestFit="1" customWidth="1"/>
    <col min="6" max="6" width="33.109375" style="103" customWidth="1"/>
    <col min="7" max="7" width="66.5546875" style="103" customWidth="1"/>
    <col min="8" max="8" width="19.5546875" style="103" customWidth="1"/>
    <col min="9" max="9" width="17.44140625" style="103" customWidth="1"/>
    <col min="10" max="10" width="14.44140625" style="103" customWidth="1"/>
    <col min="11" max="11" width="15.44140625" style="128" customWidth="1"/>
    <col min="12" max="12" width="17.6640625" style="129" customWidth="1"/>
    <col min="13" max="13" width="14.88671875" style="129" customWidth="1"/>
    <col min="14" max="14" width="17.5546875" style="103" customWidth="1"/>
    <col min="15" max="15" width="13.5546875" style="129" customWidth="1"/>
    <col min="16" max="16" width="17.33203125" style="130" customWidth="1"/>
    <col min="17" max="17" width="21.33203125" style="130" customWidth="1"/>
    <col min="18" max="18" width="16.88671875" style="103" customWidth="1"/>
    <col min="19" max="19" width="16.33203125" style="128" customWidth="1"/>
    <col min="20" max="20" width="21.33203125" style="103" bestFit="1" customWidth="1"/>
    <col min="21" max="21" width="24" style="103" bestFit="1" customWidth="1"/>
    <col min="22" max="22" width="13.109375" style="103" customWidth="1"/>
    <col min="23" max="23" width="14.5546875" style="103" customWidth="1"/>
    <col min="24" max="24" width="15.6640625" style="103" customWidth="1"/>
    <col min="25" max="25" width="12.33203125" style="103" customWidth="1"/>
    <col min="26" max="26" width="21.6640625" style="103" customWidth="1"/>
    <col min="27" max="27" width="10.44140625" style="103" customWidth="1"/>
    <col min="28" max="28" width="8.88671875" style="103" customWidth="1"/>
    <col min="29" max="29" width="13.44140625" style="129" customWidth="1"/>
    <col min="30" max="30" width="11.33203125" style="129" customWidth="1"/>
    <col min="31" max="31" width="34.5546875" style="103" bestFit="1" customWidth="1"/>
    <col min="32" max="16384" width="36.5546875" style="103"/>
  </cols>
  <sheetData>
    <row r="1" spans="1:31" s="127" customFormat="1" ht="39.6" x14ac:dyDescent="0.3">
      <c r="A1" s="104" t="s">
        <v>583</v>
      </c>
      <c r="B1" s="104" t="s">
        <v>752</v>
      </c>
      <c r="C1" s="104" t="s">
        <v>406</v>
      </c>
      <c r="D1" s="104" t="s">
        <v>74</v>
      </c>
      <c r="E1" s="104" t="s">
        <v>407</v>
      </c>
      <c r="F1" s="104" t="s">
        <v>408</v>
      </c>
      <c r="G1" s="104" t="s">
        <v>409</v>
      </c>
      <c r="H1" s="104" t="s">
        <v>410</v>
      </c>
      <c r="I1" s="104" t="s">
        <v>411</v>
      </c>
      <c r="J1" s="105" t="s">
        <v>948</v>
      </c>
      <c r="K1" s="105" t="s">
        <v>412</v>
      </c>
      <c r="L1" s="106" t="s">
        <v>413</v>
      </c>
      <c r="M1" s="106" t="s">
        <v>414</v>
      </c>
      <c r="N1" s="104" t="s">
        <v>72</v>
      </c>
      <c r="O1" s="104" t="s">
        <v>415</v>
      </c>
      <c r="P1" s="107" t="s">
        <v>416</v>
      </c>
      <c r="Q1" s="107" t="s">
        <v>417</v>
      </c>
      <c r="R1" s="104" t="s">
        <v>418</v>
      </c>
      <c r="S1" s="105" t="s">
        <v>419</v>
      </c>
      <c r="T1" s="104" t="s">
        <v>420</v>
      </c>
      <c r="U1" s="108" t="s">
        <v>799</v>
      </c>
      <c r="V1" s="105" t="s">
        <v>71</v>
      </c>
      <c r="W1" s="105" t="s">
        <v>73</v>
      </c>
      <c r="X1" s="104" t="s">
        <v>800</v>
      </c>
      <c r="Y1" s="104" t="s">
        <v>801</v>
      </c>
      <c r="Z1" s="109" t="s">
        <v>912</v>
      </c>
      <c r="AA1" s="109" t="s">
        <v>95</v>
      </c>
      <c r="AB1" s="109" t="s">
        <v>499</v>
      </c>
      <c r="AC1" s="106" t="s">
        <v>10</v>
      </c>
      <c r="AD1" s="106" t="s">
        <v>11</v>
      </c>
      <c r="AE1" s="106" t="s">
        <v>751</v>
      </c>
    </row>
    <row r="2" spans="1:31" x14ac:dyDescent="0.3">
      <c r="A2" s="54" t="s">
        <v>582</v>
      </c>
      <c r="B2" s="54">
        <v>5160</v>
      </c>
      <c r="C2" s="54" t="s">
        <v>600</v>
      </c>
      <c r="D2" s="54" t="s">
        <v>722</v>
      </c>
      <c r="E2" s="54" t="s">
        <v>601</v>
      </c>
      <c r="F2" s="54" t="s">
        <v>602</v>
      </c>
      <c r="G2" s="54" t="s">
        <v>603</v>
      </c>
      <c r="H2" s="54" t="s">
        <v>12</v>
      </c>
      <c r="I2" s="54" t="s">
        <v>118</v>
      </c>
      <c r="J2" s="61" t="s">
        <v>949</v>
      </c>
      <c r="K2" s="90" t="s">
        <v>178</v>
      </c>
      <c r="L2" s="92" t="s">
        <v>178</v>
      </c>
      <c r="M2" s="92" t="s">
        <v>178</v>
      </c>
      <c r="N2" s="54" t="s">
        <v>762</v>
      </c>
      <c r="O2" s="92" t="s">
        <v>178</v>
      </c>
      <c r="P2" s="21" t="s">
        <v>399</v>
      </c>
      <c r="Q2" s="111" t="s">
        <v>114</v>
      </c>
      <c r="R2" s="92" t="s">
        <v>600</v>
      </c>
      <c r="S2" s="61" t="s">
        <v>178</v>
      </c>
      <c r="T2" s="92" t="s">
        <v>178</v>
      </c>
      <c r="U2" s="113" t="s">
        <v>178</v>
      </c>
      <c r="V2" s="61" t="s">
        <v>1032</v>
      </c>
      <c r="W2" s="61" t="s">
        <v>1174</v>
      </c>
      <c r="X2" s="90" t="s">
        <v>178</v>
      </c>
      <c r="Y2" s="90"/>
      <c r="Z2" s="92" t="s">
        <v>446</v>
      </c>
      <c r="AA2" s="54"/>
      <c r="AB2" s="54">
        <v>2019</v>
      </c>
      <c r="AC2" s="59" t="s">
        <v>178</v>
      </c>
      <c r="AD2" s="59" t="s">
        <v>178</v>
      </c>
      <c r="AE2" s="54"/>
    </row>
    <row r="3" spans="1:31" ht="26.4" x14ac:dyDescent="0.3">
      <c r="A3" s="54" t="s">
        <v>582</v>
      </c>
      <c r="B3" s="54">
        <v>5161</v>
      </c>
      <c r="C3" s="54" t="s">
        <v>600</v>
      </c>
      <c r="D3" s="54" t="s">
        <v>96</v>
      </c>
      <c r="E3" s="54" t="s">
        <v>604</v>
      </c>
      <c r="F3" s="54" t="s">
        <v>605</v>
      </c>
      <c r="G3" s="54" t="s">
        <v>606</v>
      </c>
      <c r="H3" s="54" t="s">
        <v>444</v>
      </c>
      <c r="I3" s="54" t="s">
        <v>118</v>
      </c>
      <c r="J3" s="61" t="s">
        <v>949</v>
      </c>
      <c r="K3" s="90" t="s">
        <v>178</v>
      </c>
      <c r="L3" s="92" t="s">
        <v>178</v>
      </c>
      <c r="M3" s="92" t="s">
        <v>178</v>
      </c>
      <c r="N3" s="54" t="s">
        <v>762</v>
      </c>
      <c r="O3" s="92" t="s">
        <v>178</v>
      </c>
      <c r="P3" s="21" t="s">
        <v>399</v>
      </c>
      <c r="Q3" s="111" t="s">
        <v>114</v>
      </c>
      <c r="R3" s="92" t="s">
        <v>600</v>
      </c>
      <c r="S3" s="61" t="s">
        <v>178</v>
      </c>
      <c r="T3" s="92" t="s">
        <v>178</v>
      </c>
      <c r="U3" s="113" t="s">
        <v>178</v>
      </c>
      <c r="V3" s="61" t="s">
        <v>1033</v>
      </c>
      <c r="W3" s="61" t="s">
        <v>1175</v>
      </c>
      <c r="X3" s="90" t="s">
        <v>178</v>
      </c>
      <c r="Y3" s="90"/>
      <c r="Z3" s="92" t="s">
        <v>446</v>
      </c>
      <c r="AA3" s="54"/>
      <c r="AB3" s="54">
        <v>2019</v>
      </c>
      <c r="AC3" s="59" t="s">
        <v>178</v>
      </c>
      <c r="AD3" s="59" t="s">
        <v>178</v>
      </c>
      <c r="AE3" s="54"/>
    </row>
    <row r="4" spans="1:31" x14ac:dyDescent="0.3">
      <c r="A4" s="54" t="s">
        <v>582</v>
      </c>
      <c r="B4" s="54">
        <v>5162</v>
      </c>
      <c r="C4" s="54" t="s">
        <v>600</v>
      </c>
      <c r="D4" s="54" t="s">
        <v>178</v>
      </c>
      <c r="E4" s="54" t="s">
        <v>607</v>
      </c>
      <c r="F4" s="54" t="s">
        <v>608</v>
      </c>
      <c r="G4" s="146" t="s">
        <v>926</v>
      </c>
      <c r="H4" s="54" t="s">
        <v>107</v>
      </c>
      <c r="I4" s="59" t="s">
        <v>2</v>
      </c>
      <c r="J4" s="61" t="s">
        <v>798</v>
      </c>
      <c r="K4" s="61" t="s">
        <v>798</v>
      </c>
      <c r="L4" s="92" t="s">
        <v>178</v>
      </c>
      <c r="M4" s="92" t="s">
        <v>178</v>
      </c>
      <c r="N4" s="54" t="s">
        <v>762</v>
      </c>
      <c r="O4" s="92" t="s">
        <v>178</v>
      </c>
      <c r="P4" s="111" t="s">
        <v>114</v>
      </c>
      <c r="Q4" s="111" t="s">
        <v>114</v>
      </c>
      <c r="R4" s="92" t="s">
        <v>600</v>
      </c>
      <c r="S4" s="61" t="s">
        <v>178</v>
      </c>
      <c r="T4" s="92" t="s">
        <v>178</v>
      </c>
      <c r="U4" s="113" t="s">
        <v>178</v>
      </c>
      <c r="V4" s="61" t="s">
        <v>1033</v>
      </c>
      <c r="W4" s="61" t="s">
        <v>1175</v>
      </c>
      <c r="X4" s="90" t="s">
        <v>178</v>
      </c>
      <c r="Y4" s="90"/>
      <c r="Z4" s="92" t="s">
        <v>446</v>
      </c>
      <c r="AA4" s="54"/>
      <c r="AB4" s="54">
        <v>2019</v>
      </c>
      <c r="AC4" s="59" t="s">
        <v>178</v>
      </c>
      <c r="AD4" s="59" t="s">
        <v>178</v>
      </c>
      <c r="AE4" s="54"/>
    </row>
    <row r="5" spans="1:31" ht="26.4" x14ac:dyDescent="0.3">
      <c r="A5" s="54" t="s">
        <v>582</v>
      </c>
      <c r="B5" s="54">
        <v>5163</v>
      </c>
      <c r="C5" s="54" t="s">
        <v>600</v>
      </c>
      <c r="D5" s="54" t="s">
        <v>178</v>
      </c>
      <c r="E5" s="54" t="s">
        <v>609</v>
      </c>
      <c r="F5" s="54" t="s">
        <v>610</v>
      </c>
      <c r="G5" s="54" t="s">
        <v>611</v>
      </c>
      <c r="H5" s="54" t="s">
        <v>492</v>
      </c>
      <c r="I5" s="54" t="s">
        <v>118</v>
      </c>
      <c r="J5" s="61" t="s">
        <v>798</v>
      </c>
      <c r="K5" s="61" t="s">
        <v>178</v>
      </c>
      <c r="L5" s="92" t="s">
        <v>178</v>
      </c>
      <c r="M5" s="92" t="s">
        <v>178</v>
      </c>
      <c r="N5" s="54" t="s">
        <v>762</v>
      </c>
      <c r="O5" s="92" t="s">
        <v>178</v>
      </c>
      <c r="P5" s="111" t="s">
        <v>114</v>
      </c>
      <c r="Q5" s="111" t="s">
        <v>114</v>
      </c>
      <c r="R5" s="92" t="s">
        <v>600</v>
      </c>
      <c r="S5" s="61" t="s">
        <v>178</v>
      </c>
      <c r="T5" s="92" t="s">
        <v>178</v>
      </c>
      <c r="U5" s="113" t="s">
        <v>178</v>
      </c>
      <c r="V5" s="61" t="s">
        <v>1033</v>
      </c>
      <c r="W5" s="61" t="s">
        <v>1175</v>
      </c>
      <c r="X5" s="90" t="s">
        <v>178</v>
      </c>
      <c r="Y5" s="90"/>
      <c r="Z5" s="92" t="s">
        <v>443</v>
      </c>
      <c r="AA5" s="54"/>
      <c r="AB5" s="54">
        <v>2019</v>
      </c>
      <c r="AC5" s="59" t="s">
        <v>178</v>
      </c>
      <c r="AD5" s="59" t="s">
        <v>178</v>
      </c>
      <c r="AE5" s="54"/>
    </row>
    <row r="6" spans="1:31" x14ac:dyDescent="0.3">
      <c r="A6" s="54" t="s">
        <v>582</v>
      </c>
      <c r="B6" s="54">
        <v>5164</v>
      </c>
      <c r="C6" s="54" t="s">
        <v>600</v>
      </c>
      <c r="D6" s="54" t="s">
        <v>178</v>
      </c>
      <c r="E6" s="54" t="s">
        <v>612</v>
      </c>
      <c r="F6" s="54" t="s">
        <v>613</v>
      </c>
      <c r="G6" s="54" t="s">
        <v>614</v>
      </c>
      <c r="H6" s="54" t="s">
        <v>106</v>
      </c>
      <c r="I6" s="54" t="s">
        <v>1</v>
      </c>
      <c r="J6" s="61" t="s">
        <v>950</v>
      </c>
      <c r="K6" s="61" t="s">
        <v>178</v>
      </c>
      <c r="L6" s="92" t="s">
        <v>178</v>
      </c>
      <c r="M6" s="92" t="s">
        <v>178</v>
      </c>
      <c r="N6" s="54" t="s">
        <v>762</v>
      </c>
      <c r="O6" s="92" t="s">
        <v>178</v>
      </c>
      <c r="P6" s="111" t="s">
        <v>114</v>
      </c>
      <c r="Q6" s="111" t="s">
        <v>114</v>
      </c>
      <c r="R6" s="92" t="s">
        <v>600</v>
      </c>
      <c r="S6" s="61" t="s">
        <v>178</v>
      </c>
      <c r="T6" s="92" t="s">
        <v>178</v>
      </c>
      <c r="U6" s="113" t="s">
        <v>178</v>
      </c>
      <c r="V6" s="61" t="s">
        <v>1033</v>
      </c>
      <c r="W6" s="61" t="s">
        <v>1175</v>
      </c>
      <c r="X6" s="90" t="s">
        <v>178</v>
      </c>
      <c r="Y6" s="90"/>
      <c r="Z6" s="92" t="s">
        <v>443</v>
      </c>
      <c r="AA6" s="54"/>
      <c r="AB6" s="54">
        <v>2019</v>
      </c>
      <c r="AC6" s="59" t="s">
        <v>178</v>
      </c>
      <c r="AD6" s="59" t="s">
        <v>178</v>
      </c>
      <c r="AE6" s="54"/>
    </row>
    <row r="7" spans="1:31" ht="79.2" x14ac:dyDescent="0.3">
      <c r="A7" s="54" t="s">
        <v>582</v>
      </c>
      <c r="B7" s="54">
        <v>5165</v>
      </c>
      <c r="C7" s="54" t="s">
        <v>591</v>
      </c>
      <c r="D7" s="113" t="s">
        <v>178</v>
      </c>
      <c r="E7" s="54" t="s">
        <v>592</v>
      </c>
      <c r="F7" s="54" t="s">
        <v>615</v>
      </c>
      <c r="G7" s="54" t="s">
        <v>724</v>
      </c>
      <c r="H7" s="54" t="s">
        <v>116</v>
      </c>
      <c r="I7" s="54" t="s">
        <v>322</v>
      </c>
      <c r="J7" s="61" t="s">
        <v>951</v>
      </c>
      <c r="K7" s="90" t="s">
        <v>953</v>
      </c>
      <c r="L7" s="92" t="s">
        <v>178</v>
      </c>
      <c r="M7" s="92" t="s">
        <v>178</v>
      </c>
      <c r="N7" s="54" t="s">
        <v>763</v>
      </c>
      <c r="O7" s="92">
        <v>10700</v>
      </c>
      <c r="P7" s="84">
        <v>853335773</v>
      </c>
      <c r="Q7" s="84">
        <v>2200000</v>
      </c>
      <c r="R7" s="152" t="s">
        <v>966</v>
      </c>
      <c r="S7" s="90" t="s">
        <v>969</v>
      </c>
      <c r="T7" s="92" t="s">
        <v>178</v>
      </c>
      <c r="U7" s="59" t="s">
        <v>178</v>
      </c>
      <c r="V7" s="90" t="s">
        <v>1034</v>
      </c>
      <c r="W7" s="90" t="s">
        <v>1176</v>
      </c>
      <c r="X7" s="90" t="s">
        <v>178</v>
      </c>
      <c r="Y7" s="61" t="s">
        <v>839</v>
      </c>
      <c r="Z7" s="92" t="s">
        <v>443</v>
      </c>
      <c r="AA7" s="54"/>
      <c r="AB7" s="54">
        <v>2019</v>
      </c>
      <c r="AC7" s="54" t="s">
        <v>399</v>
      </c>
      <c r="AD7" s="54" t="s">
        <v>399</v>
      </c>
      <c r="AE7" s="54"/>
    </row>
    <row r="8" spans="1:31" ht="52.8" x14ac:dyDescent="0.3">
      <c r="A8" s="54" t="s">
        <v>582</v>
      </c>
      <c r="B8" s="54">
        <v>5166</v>
      </c>
      <c r="C8" s="54" t="s">
        <v>591</v>
      </c>
      <c r="D8" s="113" t="s">
        <v>178</v>
      </c>
      <c r="E8" s="54" t="s">
        <v>593</v>
      </c>
      <c r="F8" s="54" t="s">
        <v>616</v>
      </c>
      <c r="G8" s="54" t="s">
        <v>617</v>
      </c>
      <c r="H8" s="54" t="s">
        <v>116</v>
      </c>
      <c r="I8" s="54" t="s">
        <v>2</v>
      </c>
      <c r="J8" s="61" t="s">
        <v>794</v>
      </c>
      <c r="K8" s="90" t="s">
        <v>949</v>
      </c>
      <c r="L8" s="92" t="s">
        <v>178</v>
      </c>
      <c r="M8" s="92" t="s">
        <v>178</v>
      </c>
      <c r="N8" s="54" t="s">
        <v>762</v>
      </c>
      <c r="O8" s="92">
        <v>670</v>
      </c>
      <c r="P8" s="84">
        <v>17300590</v>
      </c>
      <c r="Q8" s="84">
        <v>114588</v>
      </c>
      <c r="R8" s="92" t="s">
        <v>744</v>
      </c>
      <c r="S8" s="90" t="s">
        <v>970</v>
      </c>
      <c r="T8" s="92" t="s">
        <v>178</v>
      </c>
      <c r="U8" s="59" t="s">
        <v>178</v>
      </c>
      <c r="V8" s="90" t="s">
        <v>1035</v>
      </c>
      <c r="W8" s="90" t="s">
        <v>1177</v>
      </c>
      <c r="X8" s="90" t="s">
        <v>178</v>
      </c>
      <c r="Y8" s="61" t="s">
        <v>839</v>
      </c>
      <c r="Z8" s="92" t="s">
        <v>443</v>
      </c>
      <c r="AA8" s="54"/>
      <c r="AB8" s="54">
        <v>2019</v>
      </c>
      <c r="AC8" s="54" t="s">
        <v>399</v>
      </c>
      <c r="AD8" s="54" t="s">
        <v>399</v>
      </c>
      <c r="AE8" s="54"/>
    </row>
    <row r="9" spans="1:31" ht="52.8" x14ac:dyDescent="0.3">
      <c r="A9" s="54" t="s">
        <v>582</v>
      </c>
      <c r="B9" s="54">
        <v>5167</v>
      </c>
      <c r="C9" s="54" t="s">
        <v>591</v>
      </c>
      <c r="D9" s="113" t="s">
        <v>178</v>
      </c>
      <c r="E9" s="54" t="s">
        <v>594</v>
      </c>
      <c r="F9" s="54" t="s">
        <v>719</v>
      </c>
      <c r="G9" s="54" t="s">
        <v>618</v>
      </c>
      <c r="H9" s="54" t="s">
        <v>116</v>
      </c>
      <c r="I9" s="59" t="s">
        <v>118</v>
      </c>
      <c r="J9" s="61" t="s">
        <v>952</v>
      </c>
      <c r="K9" s="90" t="s">
        <v>755</v>
      </c>
      <c r="L9" s="118" t="s">
        <v>178</v>
      </c>
      <c r="M9" s="118">
        <v>3810.8294399999995</v>
      </c>
      <c r="N9" s="54" t="s">
        <v>762</v>
      </c>
      <c r="O9" s="92">
        <v>2648</v>
      </c>
      <c r="P9" s="84">
        <v>95231364</v>
      </c>
      <c r="Q9" s="84" t="s">
        <v>114</v>
      </c>
      <c r="R9" s="92" t="s">
        <v>744</v>
      </c>
      <c r="S9" s="90" t="s">
        <v>971</v>
      </c>
      <c r="T9" s="92" t="s">
        <v>178</v>
      </c>
      <c r="U9" s="59" t="s">
        <v>178</v>
      </c>
      <c r="V9" s="90" t="s">
        <v>1036</v>
      </c>
      <c r="W9" s="90" t="s">
        <v>1178</v>
      </c>
      <c r="X9" s="90" t="s">
        <v>178</v>
      </c>
      <c r="Y9" s="61" t="s">
        <v>839</v>
      </c>
      <c r="Z9" s="92" t="s">
        <v>443</v>
      </c>
      <c r="AA9" s="54"/>
      <c r="AB9" s="54">
        <v>2019</v>
      </c>
      <c r="AC9" s="54" t="s">
        <v>399</v>
      </c>
      <c r="AD9" s="54" t="s">
        <v>399</v>
      </c>
      <c r="AE9" s="54">
        <v>4</v>
      </c>
    </row>
    <row r="10" spans="1:31" ht="26.4" x14ac:dyDescent="0.3">
      <c r="A10" s="54" t="s">
        <v>582</v>
      </c>
      <c r="B10" s="54">
        <v>5168</v>
      </c>
      <c r="C10" s="54" t="s">
        <v>591</v>
      </c>
      <c r="D10" s="113" t="s">
        <v>178</v>
      </c>
      <c r="E10" s="54" t="s">
        <v>595</v>
      </c>
      <c r="F10" s="54" t="s">
        <v>619</v>
      </c>
      <c r="G10" s="54" t="s">
        <v>620</v>
      </c>
      <c r="H10" s="54" t="s">
        <v>116</v>
      </c>
      <c r="I10" s="54" t="s">
        <v>118</v>
      </c>
      <c r="J10" s="61" t="s">
        <v>953</v>
      </c>
      <c r="K10" s="61" t="s">
        <v>755</v>
      </c>
      <c r="L10" s="92" t="s">
        <v>178</v>
      </c>
      <c r="M10" s="92" t="s">
        <v>178</v>
      </c>
      <c r="N10" s="146" t="s">
        <v>762</v>
      </c>
      <c r="O10" s="92">
        <v>1797</v>
      </c>
      <c r="P10" s="84" t="s">
        <v>114</v>
      </c>
      <c r="Q10" s="84" t="s">
        <v>114</v>
      </c>
      <c r="R10" s="92" t="s">
        <v>744</v>
      </c>
      <c r="S10" s="90" t="s">
        <v>114</v>
      </c>
      <c r="T10" s="92" t="s">
        <v>178</v>
      </c>
      <c r="U10" s="59" t="s">
        <v>178</v>
      </c>
      <c r="V10" s="149" t="s">
        <v>1025</v>
      </c>
      <c r="W10" s="149" t="s">
        <v>1026</v>
      </c>
      <c r="X10" s="90" t="s">
        <v>178</v>
      </c>
      <c r="Y10" s="61" t="s">
        <v>839</v>
      </c>
      <c r="Z10" s="92" t="s">
        <v>443</v>
      </c>
      <c r="AA10" s="54"/>
      <c r="AB10" s="54">
        <v>2019</v>
      </c>
      <c r="AC10" s="54" t="s">
        <v>399</v>
      </c>
      <c r="AD10" s="54" t="s">
        <v>399</v>
      </c>
      <c r="AE10" s="54"/>
    </row>
    <row r="11" spans="1:31" ht="26.4" x14ac:dyDescent="0.3">
      <c r="A11" s="54" t="s">
        <v>582</v>
      </c>
      <c r="B11" s="54">
        <v>5169</v>
      </c>
      <c r="C11" s="54" t="s">
        <v>591</v>
      </c>
      <c r="D11" s="113" t="s">
        <v>178</v>
      </c>
      <c r="E11" s="54" t="s">
        <v>621</v>
      </c>
      <c r="F11" s="54" t="s">
        <v>622</v>
      </c>
      <c r="G11" s="54" t="s">
        <v>720</v>
      </c>
      <c r="H11" s="54" t="s">
        <v>332</v>
      </c>
      <c r="I11" s="54" t="s">
        <v>118</v>
      </c>
      <c r="J11" s="61" t="s">
        <v>952</v>
      </c>
      <c r="K11" s="61" t="s">
        <v>965</v>
      </c>
      <c r="L11" s="92" t="s">
        <v>178</v>
      </c>
      <c r="M11" s="92" t="s">
        <v>178</v>
      </c>
      <c r="N11" s="146" t="s">
        <v>762</v>
      </c>
      <c r="O11" s="92" t="s">
        <v>114</v>
      </c>
      <c r="P11" s="84" t="s">
        <v>114</v>
      </c>
      <c r="Q11" s="84" t="s">
        <v>114</v>
      </c>
      <c r="R11" s="92" t="s">
        <v>744</v>
      </c>
      <c r="S11" s="90" t="s">
        <v>114</v>
      </c>
      <c r="T11" s="92" t="s">
        <v>178</v>
      </c>
      <c r="U11" s="59" t="s">
        <v>178</v>
      </c>
      <c r="V11" s="90" t="s">
        <v>399</v>
      </c>
      <c r="W11" s="90" t="s">
        <v>399</v>
      </c>
      <c r="X11" s="90" t="s">
        <v>178</v>
      </c>
      <c r="Y11" s="61" t="s">
        <v>839</v>
      </c>
      <c r="Z11" s="54" t="s">
        <v>446</v>
      </c>
      <c r="AA11" s="54"/>
      <c r="AB11" s="54">
        <v>2019</v>
      </c>
      <c r="AC11" s="54" t="s">
        <v>399</v>
      </c>
      <c r="AD11" s="54" t="s">
        <v>399</v>
      </c>
      <c r="AE11" s="54"/>
    </row>
    <row r="12" spans="1:31" ht="39.6" x14ac:dyDescent="0.3">
      <c r="A12" s="54" t="s">
        <v>582</v>
      </c>
      <c r="B12" s="54">
        <v>5170</v>
      </c>
      <c r="C12" s="54" t="s">
        <v>591</v>
      </c>
      <c r="D12" s="113" t="s">
        <v>178</v>
      </c>
      <c r="E12" s="54" t="s">
        <v>623</v>
      </c>
      <c r="F12" s="59" t="s">
        <v>838</v>
      </c>
      <c r="G12" s="59" t="s">
        <v>913</v>
      </c>
      <c r="H12" s="110" t="s">
        <v>784</v>
      </c>
      <c r="I12" s="54" t="s">
        <v>322</v>
      </c>
      <c r="J12" s="61" t="s">
        <v>949</v>
      </c>
      <c r="K12" s="61" t="s">
        <v>755</v>
      </c>
      <c r="L12" s="62" t="s">
        <v>114</v>
      </c>
      <c r="M12" s="62" t="s">
        <v>114</v>
      </c>
      <c r="N12" s="54" t="s">
        <v>763</v>
      </c>
      <c r="O12" s="92" t="s">
        <v>178</v>
      </c>
      <c r="P12" s="84">
        <v>659385</v>
      </c>
      <c r="Q12" s="84" t="s">
        <v>178</v>
      </c>
      <c r="R12" s="92" t="s">
        <v>335</v>
      </c>
      <c r="S12" s="90" t="s">
        <v>972</v>
      </c>
      <c r="T12" s="92" t="s">
        <v>178</v>
      </c>
      <c r="U12" s="59" t="s">
        <v>178</v>
      </c>
      <c r="V12" s="90" t="s">
        <v>399</v>
      </c>
      <c r="W12" s="90" t="s">
        <v>399</v>
      </c>
      <c r="X12" s="90" t="s">
        <v>178</v>
      </c>
      <c r="Y12" s="61" t="s">
        <v>839</v>
      </c>
      <c r="Z12" s="54" t="s">
        <v>446</v>
      </c>
      <c r="AA12" s="54"/>
      <c r="AB12" s="54">
        <v>2019</v>
      </c>
      <c r="AC12" s="54" t="s">
        <v>399</v>
      </c>
      <c r="AD12" s="54" t="s">
        <v>399</v>
      </c>
      <c r="AE12" s="54"/>
    </row>
    <row r="13" spans="1:31" ht="26.4" x14ac:dyDescent="0.3">
      <c r="A13" s="54" t="s">
        <v>582</v>
      </c>
      <c r="B13" s="54">
        <v>5171</v>
      </c>
      <c r="C13" s="54" t="s">
        <v>591</v>
      </c>
      <c r="D13" s="113" t="s">
        <v>178</v>
      </c>
      <c r="E13" s="54" t="s">
        <v>624</v>
      </c>
      <c r="F13" s="54" t="s">
        <v>625</v>
      </c>
      <c r="G13" s="91" t="s">
        <v>626</v>
      </c>
      <c r="H13" s="54" t="s">
        <v>460</v>
      </c>
      <c r="I13" s="54" t="s">
        <v>2</v>
      </c>
      <c r="J13" s="61" t="s">
        <v>873</v>
      </c>
      <c r="K13" s="90" t="s">
        <v>963</v>
      </c>
      <c r="L13" s="92" t="s">
        <v>178</v>
      </c>
      <c r="M13" s="92" t="s">
        <v>178</v>
      </c>
      <c r="N13" s="54" t="s">
        <v>763</v>
      </c>
      <c r="O13" s="92">
        <v>304</v>
      </c>
      <c r="P13" s="84">
        <v>17200</v>
      </c>
      <c r="Q13" s="84">
        <v>47500</v>
      </c>
      <c r="R13" s="92" t="s">
        <v>335</v>
      </c>
      <c r="S13" s="90" t="s">
        <v>973</v>
      </c>
      <c r="T13" s="92" t="s">
        <v>178</v>
      </c>
      <c r="U13" s="59" t="s">
        <v>178</v>
      </c>
      <c r="V13" s="90" t="s">
        <v>1037</v>
      </c>
      <c r="W13" s="90" t="s">
        <v>1179</v>
      </c>
      <c r="X13" s="90" t="s">
        <v>178</v>
      </c>
      <c r="Y13" s="61" t="s">
        <v>839</v>
      </c>
      <c r="Z13" s="92" t="s">
        <v>443</v>
      </c>
      <c r="AA13" s="54"/>
      <c r="AB13" s="54">
        <v>2019</v>
      </c>
      <c r="AC13" s="54" t="s">
        <v>399</v>
      </c>
      <c r="AD13" s="54" t="s">
        <v>399</v>
      </c>
      <c r="AE13" s="54"/>
    </row>
    <row r="14" spans="1:31" ht="26.4" x14ac:dyDescent="0.3">
      <c r="A14" s="54" t="s">
        <v>582</v>
      </c>
      <c r="B14" s="54">
        <v>2318</v>
      </c>
      <c r="C14" s="54" t="s">
        <v>77</v>
      </c>
      <c r="D14" s="54" t="s">
        <v>511</v>
      </c>
      <c r="E14" s="54" t="s">
        <v>140</v>
      </c>
      <c r="F14" s="54" t="s">
        <v>12</v>
      </c>
      <c r="G14" s="54" t="s">
        <v>914</v>
      </c>
      <c r="H14" s="54" t="s">
        <v>12</v>
      </c>
      <c r="I14" s="54" t="s">
        <v>1</v>
      </c>
      <c r="J14" s="90" t="s">
        <v>399</v>
      </c>
      <c r="K14" s="90" t="s">
        <v>178</v>
      </c>
      <c r="L14" s="92">
        <v>9299.2142886460551</v>
      </c>
      <c r="M14" s="92">
        <v>3448.2961113327337</v>
      </c>
      <c r="N14" s="54" t="s">
        <v>103</v>
      </c>
      <c r="O14" s="92" t="s">
        <v>178</v>
      </c>
      <c r="P14" s="84" t="s">
        <v>399</v>
      </c>
      <c r="Q14" s="49">
        <v>2000</v>
      </c>
      <c r="R14" s="54" t="s">
        <v>334</v>
      </c>
      <c r="S14" s="90" t="s">
        <v>399</v>
      </c>
      <c r="T14" s="54" t="s">
        <v>178</v>
      </c>
      <c r="U14" s="113" t="s">
        <v>178</v>
      </c>
      <c r="V14" s="90" t="s">
        <v>399</v>
      </c>
      <c r="W14" s="90" t="s">
        <v>399</v>
      </c>
      <c r="X14" s="90" t="s">
        <v>178</v>
      </c>
      <c r="Y14" s="90"/>
      <c r="Z14" s="54" t="s">
        <v>446</v>
      </c>
      <c r="AA14" s="54" t="s">
        <v>1</v>
      </c>
      <c r="AB14" s="54">
        <v>2012</v>
      </c>
      <c r="AC14" s="92">
        <v>6998.4709679999996</v>
      </c>
      <c r="AD14" s="54" t="s">
        <v>178</v>
      </c>
      <c r="AE14" s="54"/>
    </row>
    <row r="15" spans="1:31" ht="39.6" x14ac:dyDescent="0.3">
      <c r="A15" s="54" t="s">
        <v>582</v>
      </c>
      <c r="B15" s="54">
        <v>2329</v>
      </c>
      <c r="C15" s="54" t="s">
        <v>77</v>
      </c>
      <c r="D15" s="54" t="s">
        <v>178</v>
      </c>
      <c r="E15" s="54" t="s">
        <v>141</v>
      </c>
      <c r="F15" s="54" t="s">
        <v>351</v>
      </c>
      <c r="G15" s="54" t="s">
        <v>80</v>
      </c>
      <c r="H15" s="54" t="s">
        <v>239</v>
      </c>
      <c r="I15" s="54" t="s">
        <v>2</v>
      </c>
      <c r="J15" s="90" t="s">
        <v>399</v>
      </c>
      <c r="K15" s="90" t="s">
        <v>76</v>
      </c>
      <c r="L15" s="92">
        <v>0</v>
      </c>
      <c r="M15" s="92" t="s">
        <v>178</v>
      </c>
      <c r="N15" s="54" t="s">
        <v>103</v>
      </c>
      <c r="O15" s="54" t="s">
        <v>399</v>
      </c>
      <c r="P15" s="84" t="s">
        <v>399</v>
      </c>
      <c r="Q15" s="84" t="s">
        <v>399</v>
      </c>
      <c r="R15" s="54" t="s">
        <v>334</v>
      </c>
      <c r="S15" s="153" t="s">
        <v>399</v>
      </c>
      <c r="T15" s="54" t="s">
        <v>178</v>
      </c>
      <c r="U15" s="113" t="s">
        <v>178</v>
      </c>
      <c r="V15" s="90" t="s">
        <v>399</v>
      </c>
      <c r="W15" s="90" t="s">
        <v>399</v>
      </c>
      <c r="X15" s="90" t="s">
        <v>178</v>
      </c>
      <c r="Y15" s="90"/>
      <c r="Z15" s="54" t="s">
        <v>443</v>
      </c>
      <c r="AA15" s="54" t="s">
        <v>2</v>
      </c>
      <c r="AB15" s="54">
        <v>2012</v>
      </c>
      <c r="AC15" s="92">
        <v>0</v>
      </c>
      <c r="AD15" s="54" t="s">
        <v>178</v>
      </c>
      <c r="AE15" s="54"/>
    </row>
    <row r="16" spans="1:31" ht="39.6" x14ac:dyDescent="0.3">
      <c r="A16" s="54" t="s">
        <v>582</v>
      </c>
      <c r="B16" s="54">
        <v>2327</v>
      </c>
      <c r="C16" s="54" t="s">
        <v>77</v>
      </c>
      <c r="D16" s="54" t="s">
        <v>178</v>
      </c>
      <c r="E16" s="54" t="s">
        <v>142</v>
      </c>
      <c r="F16" s="54" t="s">
        <v>350</v>
      </c>
      <c r="G16" s="54" t="s">
        <v>80</v>
      </c>
      <c r="H16" s="54" t="s">
        <v>239</v>
      </c>
      <c r="I16" s="54" t="s">
        <v>2</v>
      </c>
      <c r="J16" s="90" t="s">
        <v>399</v>
      </c>
      <c r="K16" s="90" t="s">
        <v>76</v>
      </c>
      <c r="L16" s="92">
        <v>0</v>
      </c>
      <c r="M16" s="92" t="s">
        <v>178</v>
      </c>
      <c r="N16" s="54" t="s">
        <v>103</v>
      </c>
      <c r="O16" s="54" t="s">
        <v>399</v>
      </c>
      <c r="P16" s="84" t="s">
        <v>399</v>
      </c>
      <c r="Q16" s="84" t="s">
        <v>399</v>
      </c>
      <c r="R16" s="54" t="s">
        <v>334</v>
      </c>
      <c r="S16" s="90" t="s">
        <v>399</v>
      </c>
      <c r="T16" s="54" t="s">
        <v>178</v>
      </c>
      <c r="U16" s="113" t="s">
        <v>178</v>
      </c>
      <c r="V16" s="90" t="s">
        <v>399</v>
      </c>
      <c r="W16" s="90" t="s">
        <v>399</v>
      </c>
      <c r="X16" s="90" t="s">
        <v>178</v>
      </c>
      <c r="Y16" s="90"/>
      <c r="Z16" s="54" t="s">
        <v>443</v>
      </c>
      <c r="AA16" s="54" t="s">
        <v>2</v>
      </c>
      <c r="AB16" s="54">
        <v>2012</v>
      </c>
      <c r="AC16" s="92">
        <v>0</v>
      </c>
      <c r="AD16" s="54" t="s">
        <v>178</v>
      </c>
      <c r="AE16" s="54"/>
    </row>
    <row r="17" spans="1:31" ht="39.6" x14ac:dyDescent="0.3">
      <c r="A17" s="54" t="s">
        <v>582</v>
      </c>
      <c r="B17" s="54">
        <v>2339</v>
      </c>
      <c r="C17" s="54" t="s">
        <v>77</v>
      </c>
      <c r="D17" s="54" t="s">
        <v>178</v>
      </c>
      <c r="E17" s="54" t="s">
        <v>143</v>
      </c>
      <c r="F17" s="54" t="s">
        <v>352</v>
      </c>
      <c r="G17" s="54" t="s">
        <v>80</v>
      </c>
      <c r="H17" s="54" t="s">
        <v>239</v>
      </c>
      <c r="I17" s="54" t="s">
        <v>2</v>
      </c>
      <c r="J17" s="90" t="s">
        <v>399</v>
      </c>
      <c r="K17" s="90" t="s">
        <v>76</v>
      </c>
      <c r="L17" s="92">
        <v>0</v>
      </c>
      <c r="M17" s="92" t="s">
        <v>178</v>
      </c>
      <c r="N17" s="54" t="s">
        <v>103</v>
      </c>
      <c r="O17" s="54" t="s">
        <v>399</v>
      </c>
      <c r="P17" s="84" t="s">
        <v>399</v>
      </c>
      <c r="Q17" s="84" t="s">
        <v>399</v>
      </c>
      <c r="R17" s="54" t="s">
        <v>334</v>
      </c>
      <c r="S17" s="90" t="s">
        <v>399</v>
      </c>
      <c r="T17" s="54" t="s">
        <v>178</v>
      </c>
      <c r="U17" s="113" t="s">
        <v>178</v>
      </c>
      <c r="V17" s="90" t="s">
        <v>399</v>
      </c>
      <c r="W17" s="90" t="s">
        <v>399</v>
      </c>
      <c r="X17" s="90" t="s">
        <v>178</v>
      </c>
      <c r="Y17" s="90"/>
      <c r="Z17" s="54" t="s">
        <v>443</v>
      </c>
      <c r="AA17" s="54" t="s">
        <v>2</v>
      </c>
      <c r="AB17" s="54">
        <v>2012</v>
      </c>
      <c r="AC17" s="92">
        <v>0</v>
      </c>
      <c r="AD17" s="54" t="s">
        <v>178</v>
      </c>
      <c r="AE17" s="54"/>
    </row>
    <row r="18" spans="1:31" ht="39.6" x14ac:dyDescent="0.3">
      <c r="A18" s="54" t="s">
        <v>582</v>
      </c>
      <c r="B18" s="54">
        <v>2304</v>
      </c>
      <c r="C18" s="54" t="s">
        <v>77</v>
      </c>
      <c r="D18" s="54" t="s">
        <v>178</v>
      </c>
      <c r="E18" s="54" t="s">
        <v>144</v>
      </c>
      <c r="F18" s="54" t="s">
        <v>353</v>
      </c>
      <c r="G18" s="54" t="s">
        <v>80</v>
      </c>
      <c r="H18" s="54" t="s">
        <v>239</v>
      </c>
      <c r="I18" s="54" t="s">
        <v>2</v>
      </c>
      <c r="J18" s="90" t="s">
        <v>399</v>
      </c>
      <c r="K18" s="90" t="s">
        <v>76</v>
      </c>
      <c r="L18" s="92">
        <v>0</v>
      </c>
      <c r="M18" s="92" t="s">
        <v>178</v>
      </c>
      <c r="N18" s="54" t="s">
        <v>103</v>
      </c>
      <c r="O18" s="54" t="s">
        <v>399</v>
      </c>
      <c r="P18" s="84" t="s">
        <v>399</v>
      </c>
      <c r="Q18" s="84" t="s">
        <v>399</v>
      </c>
      <c r="R18" s="54" t="s">
        <v>334</v>
      </c>
      <c r="S18" s="90" t="s">
        <v>399</v>
      </c>
      <c r="T18" s="54" t="s">
        <v>178</v>
      </c>
      <c r="U18" s="113" t="s">
        <v>178</v>
      </c>
      <c r="V18" s="90" t="s">
        <v>399</v>
      </c>
      <c r="W18" s="90" t="s">
        <v>399</v>
      </c>
      <c r="X18" s="90" t="s">
        <v>178</v>
      </c>
      <c r="Y18" s="90"/>
      <c r="Z18" s="54" t="s">
        <v>443</v>
      </c>
      <c r="AA18" s="54" t="s">
        <v>2</v>
      </c>
      <c r="AB18" s="54">
        <v>2012</v>
      </c>
      <c r="AC18" s="92">
        <v>0</v>
      </c>
      <c r="AD18" s="54" t="s">
        <v>178</v>
      </c>
      <c r="AE18" s="54"/>
    </row>
    <row r="19" spans="1:31" ht="39.6" x14ac:dyDescent="0.3">
      <c r="A19" s="54" t="s">
        <v>582</v>
      </c>
      <c r="B19" s="54">
        <v>2328</v>
      </c>
      <c r="C19" s="54" t="s">
        <v>77</v>
      </c>
      <c r="D19" s="54" t="s">
        <v>186</v>
      </c>
      <c r="E19" s="54" t="s">
        <v>145</v>
      </c>
      <c r="F19" s="54" t="s">
        <v>354</v>
      </c>
      <c r="G19" s="54" t="s">
        <v>80</v>
      </c>
      <c r="H19" s="54" t="s">
        <v>239</v>
      </c>
      <c r="I19" s="54" t="s">
        <v>2</v>
      </c>
      <c r="J19" s="90" t="s">
        <v>399</v>
      </c>
      <c r="K19" s="90" t="s">
        <v>76</v>
      </c>
      <c r="L19" s="92">
        <v>0</v>
      </c>
      <c r="M19" s="92" t="s">
        <v>178</v>
      </c>
      <c r="N19" s="54" t="s">
        <v>103</v>
      </c>
      <c r="O19" s="54" t="s">
        <v>399</v>
      </c>
      <c r="P19" s="84" t="s">
        <v>399</v>
      </c>
      <c r="Q19" s="84" t="s">
        <v>399</v>
      </c>
      <c r="R19" s="54" t="s">
        <v>334</v>
      </c>
      <c r="S19" s="154" t="s">
        <v>725</v>
      </c>
      <c r="T19" s="54" t="s">
        <v>114</v>
      </c>
      <c r="U19" s="113" t="s">
        <v>178</v>
      </c>
      <c r="V19" s="90" t="s">
        <v>399</v>
      </c>
      <c r="W19" s="90" t="s">
        <v>399</v>
      </c>
      <c r="X19" s="90" t="s">
        <v>178</v>
      </c>
      <c r="Y19" s="90"/>
      <c r="Z19" s="54" t="s">
        <v>443</v>
      </c>
      <c r="AA19" s="54" t="s">
        <v>2</v>
      </c>
      <c r="AB19" s="54">
        <v>2012</v>
      </c>
      <c r="AC19" s="92">
        <v>0</v>
      </c>
      <c r="AD19" s="54" t="s">
        <v>178</v>
      </c>
      <c r="AE19" s="54"/>
    </row>
    <row r="20" spans="1:31" ht="39.6" x14ac:dyDescent="0.3">
      <c r="A20" s="54" t="s">
        <v>582</v>
      </c>
      <c r="B20" s="54">
        <v>2296</v>
      </c>
      <c r="C20" s="54" t="s">
        <v>77</v>
      </c>
      <c r="D20" s="54" t="s">
        <v>186</v>
      </c>
      <c r="E20" s="54" t="s">
        <v>146</v>
      </c>
      <c r="F20" s="54" t="s">
        <v>355</v>
      </c>
      <c r="G20" s="54" t="s">
        <v>80</v>
      </c>
      <c r="H20" s="54" t="s">
        <v>239</v>
      </c>
      <c r="I20" s="54" t="s">
        <v>2</v>
      </c>
      <c r="J20" s="90" t="s">
        <v>399</v>
      </c>
      <c r="K20" s="90" t="s">
        <v>76</v>
      </c>
      <c r="L20" s="92">
        <v>0</v>
      </c>
      <c r="M20" s="92" t="s">
        <v>178</v>
      </c>
      <c r="N20" s="54" t="s">
        <v>103</v>
      </c>
      <c r="O20" s="54" t="s">
        <v>399</v>
      </c>
      <c r="P20" s="84" t="s">
        <v>399</v>
      </c>
      <c r="Q20" s="84" t="s">
        <v>399</v>
      </c>
      <c r="R20" s="54" t="s">
        <v>334</v>
      </c>
      <c r="S20" s="90" t="s">
        <v>726</v>
      </c>
      <c r="T20" s="54" t="s">
        <v>114</v>
      </c>
      <c r="U20" s="113" t="s">
        <v>178</v>
      </c>
      <c r="V20" s="90" t="s">
        <v>399</v>
      </c>
      <c r="W20" s="90" t="s">
        <v>399</v>
      </c>
      <c r="X20" s="90" t="s">
        <v>178</v>
      </c>
      <c r="Y20" s="90"/>
      <c r="Z20" s="54" t="s">
        <v>443</v>
      </c>
      <c r="AA20" s="54" t="s">
        <v>2</v>
      </c>
      <c r="AB20" s="54">
        <v>2012</v>
      </c>
      <c r="AC20" s="92">
        <v>0</v>
      </c>
      <c r="AD20" s="54" t="s">
        <v>178</v>
      </c>
      <c r="AE20" s="54"/>
    </row>
    <row r="21" spans="1:31" ht="26.4" x14ac:dyDescent="0.3">
      <c r="A21" s="54" t="s">
        <v>582</v>
      </c>
      <c r="B21" s="54">
        <v>2297</v>
      </c>
      <c r="C21" s="54" t="s">
        <v>77</v>
      </c>
      <c r="D21" s="54" t="s">
        <v>178</v>
      </c>
      <c r="E21" s="54" t="s">
        <v>147</v>
      </c>
      <c r="F21" s="54" t="s">
        <v>13</v>
      </c>
      <c r="G21" s="54" t="s">
        <v>88</v>
      </c>
      <c r="H21" s="54" t="s">
        <v>240</v>
      </c>
      <c r="I21" s="54" t="s">
        <v>2</v>
      </c>
      <c r="J21" s="90" t="s">
        <v>399</v>
      </c>
      <c r="K21" s="90" t="s">
        <v>76</v>
      </c>
      <c r="L21" s="92" t="s">
        <v>178</v>
      </c>
      <c r="M21" s="92" t="s">
        <v>178</v>
      </c>
      <c r="N21" s="54" t="s">
        <v>103</v>
      </c>
      <c r="O21" s="54" t="s">
        <v>399</v>
      </c>
      <c r="P21" s="84" t="s">
        <v>399</v>
      </c>
      <c r="Q21" s="84" t="s">
        <v>399</v>
      </c>
      <c r="R21" s="54" t="s">
        <v>334</v>
      </c>
      <c r="S21" s="90" t="s">
        <v>399</v>
      </c>
      <c r="T21" s="54" t="s">
        <v>178</v>
      </c>
      <c r="U21" s="113" t="s">
        <v>178</v>
      </c>
      <c r="V21" s="90" t="s">
        <v>399</v>
      </c>
      <c r="W21" s="90" t="s">
        <v>399</v>
      </c>
      <c r="X21" s="90" t="s">
        <v>178</v>
      </c>
      <c r="Y21" s="90"/>
      <c r="Z21" s="54" t="s">
        <v>443</v>
      </c>
      <c r="AA21" s="54" t="s">
        <v>2</v>
      </c>
      <c r="AB21" s="54">
        <v>2012</v>
      </c>
      <c r="AC21" s="92">
        <v>0</v>
      </c>
      <c r="AD21" s="54" t="s">
        <v>178</v>
      </c>
      <c r="AE21" s="54"/>
    </row>
    <row r="22" spans="1:31" ht="26.4" x14ac:dyDescent="0.3">
      <c r="A22" s="54" t="s">
        <v>582</v>
      </c>
      <c r="B22" s="54">
        <v>2298</v>
      </c>
      <c r="C22" s="54" t="s">
        <v>77</v>
      </c>
      <c r="D22" s="54" t="s">
        <v>178</v>
      </c>
      <c r="E22" s="54" t="s">
        <v>148</v>
      </c>
      <c r="F22" s="54" t="s">
        <v>356</v>
      </c>
      <c r="G22" s="54" t="s">
        <v>288</v>
      </c>
      <c r="H22" s="54" t="s">
        <v>240</v>
      </c>
      <c r="I22" s="54" t="s">
        <v>2</v>
      </c>
      <c r="J22" s="90" t="s">
        <v>399</v>
      </c>
      <c r="K22" s="90" t="s">
        <v>76</v>
      </c>
      <c r="L22" s="92" t="s">
        <v>178</v>
      </c>
      <c r="M22" s="92" t="s">
        <v>178</v>
      </c>
      <c r="N22" s="54" t="s">
        <v>103</v>
      </c>
      <c r="O22" s="54" t="s">
        <v>399</v>
      </c>
      <c r="P22" s="84" t="s">
        <v>399</v>
      </c>
      <c r="Q22" s="84" t="s">
        <v>399</v>
      </c>
      <c r="R22" s="54" t="s">
        <v>334</v>
      </c>
      <c r="S22" s="90" t="s">
        <v>399</v>
      </c>
      <c r="T22" s="54" t="s">
        <v>178</v>
      </c>
      <c r="U22" s="113" t="s">
        <v>178</v>
      </c>
      <c r="V22" s="90" t="s">
        <v>399</v>
      </c>
      <c r="W22" s="90" t="s">
        <v>399</v>
      </c>
      <c r="X22" s="90" t="s">
        <v>178</v>
      </c>
      <c r="Y22" s="90"/>
      <c r="Z22" s="54" t="s">
        <v>443</v>
      </c>
      <c r="AA22" s="54" t="s">
        <v>2</v>
      </c>
      <c r="AB22" s="54">
        <v>2012</v>
      </c>
      <c r="AC22" s="92">
        <v>0</v>
      </c>
      <c r="AD22" s="54" t="s">
        <v>178</v>
      </c>
      <c r="AE22" s="54"/>
    </row>
    <row r="23" spans="1:31" x14ac:dyDescent="0.3">
      <c r="A23" s="54" t="s">
        <v>582</v>
      </c>
      <c r="B23" s="54">
        <v>2361</v>
      </c>
      <c r="C23" s="54" t="s">
        <v>77</v>
      </c>
      <c r="D23" s="54" t="s">
        <v>178</v>
      </c>
      <c r="E23" s="54" t="s">
        <v>14</v>
      </c>
      <c r="F23" s="54" t="s">
        <v>15</v>
      </c>
      <c r="G23" s="54" t="s">
        <v>500</v>
      </c>
      <c r="H23" s="54" t="s">
        <v>106</v>
      </c>
      <c r="I23" s="54" t="s">
        <v>2</v>
      </c>
      <c r="J23" s="90" t="s">
        <v>399</v>
      </c>
      <c r="K23" s="90" t="s">
        <v>76</v>
      </c>
      <c r="L23" s="92">
        <v>4415.9061545880486</v>
      </c>
      <c r="M23" s="92">
        <v>3411.7144657723475</v>
      </c>
      <c r="N23" s="54" t="s">
        <v>103</v>
      </c>
      <c r="O23" s="92">
        <v>10702</v>
      </c>
      <c r="P23" s="84" t="s">
        <v>399</v>
      </c>
      <c r="Q23" s="84" t="s">
        <v>399</v>
      </c>
      <c r="R23" s="54" t="s">
        <v>334</v>
      </c>
      <c r="S23" s="90" t="s">
        <v>399</v>
      </c>
      <c r="T23" s="54" t="s">
        <v>178</v>
      </c>
      <c r="U23" s="113" t="s">
        <v>178</v>
      </c>
      <c r="V23" s="90" t="s">
        <v>399</v>
      </c>
      <c r="W23" s="90" t="s">
        <v>399</v>
      </c>
      <c r="X23" s="90" t="s">
        <v>178</v>
      </c>
      <c r="Y23" s="90"/>
      <c r="Z23" s="54" t="s">
        <v>443</v>
      </c>
      <c r="AA23" s="54" t="s">
        <v>2</v>
      </c>
      <c r="AB23" s="54">
        <v>2012</v>
      </c>
      <c r="AC23" s="92">
        <v>18130.525831999999</v>
      </c>
      <c r="AD23" s="54" t="s">
        <v>178</v>
      </c>
      <c r="AE23" s="54"/>
    </row>
    <row r="24" spans="1:31" x14ac:dyDescent="0.3">
      <c r="A24" s="54" t="s">
        <v>582</v>
      </c>
      <c r="B24" s="54">
        <v>2299</v>
      </c>
      <c r="C24" s="54" t="s">
        <v>77</v>
      </c>
      <c r="D24" s="54" t="s">
        <v>178</v>
      </c>
      <c r="E24" s="54" t="s">
        <v>16</v>
      </c>
      <c r="F24" s="54" t="s">
        <v>17</v>
      </c>
      <c r="G24" s="54" t="s">
        <v>81</v>
      </c>
      <c r="H24" s="54" t="s">
        <v>128</v>
      </c>
      <c r="I24" s="54" t="s">
        <v>2</v>
      </c>
      <c r="J24" s="90" t="s">
        <v>399</v>
      </c>
      <c r="K24" s="90" t="s">
        <v>76</v>
      </c>
      <c r="L24" s="92">
        <v>796</v>
      </c>
      <c r="M24" s="92">
        <v>140.80000000000001</v>
      </c>
      <c r="N24" s="54" t="s">
        <v>103</v>
      </c>
      <c r="O24" s="54" t="s">
        <v>399</v>
      </c>
      <c r="P24" s="84" t="s">
        <v>399</v>
      </c>
      <c r="Q24" s="84" t="s">
        <v>399</v>
      </c>
      <c r="R24" s="54" t="s">
        <v>334</v>
      </c>
      <c r="S24" s="90" t="s">
        <v>399</v>
      </c>
      <c r="T24" s="54" t="s">
        <v>178</v>
      </c>
      <c r="U24" s="113" t="s">
        <v>178</v>
      </c>
      <c r="V24" s="90" t="s">
        <v>399</v>
      </c>
      <c r="W24" s="90" t="s">
        <v>399</v>
      </c>
      <c r="X24" s="90" t="s">
        <v>178</v>
      </c>
      <c r="Y24" s="90"/>
      <c r="Z24" s="54" t="s">
        <v>443</v>
      </c>
      <c r="AA24" s="54" t="s">
        <v>2</v>
      </c>
      <c r="AB24" s="54">
        <v>2012</v>
      </c>
      <c r="AC24" s="92">
        <v>12550.89064</v>
      </c>
      <c r="AD24" s="54" t="s">
        <v>178</v>
      </c>
      <c r="AE24" s="54"/>
    </row>
    <row r="25" spans="1:31" ht="26.4" x14ac:dyDescent="0.3">
      <c r="A25" s="54" t="s">
        <v>582</v>
      </c>
      <c r="B25" s="54">
        <v>2330</v>
      </c>
      <c r="C25" s="54" t="s">
        <v>77</v>
      </c>
      <c r="D25" s="54" t="s">
        <v>178</v>
      </c>
      <c r="E25" s="54" t="s">
        <v>18</v>
      </c>
      <c r="F25" s="54" t="s">
        <v>358</v>
      </c>
      <c r="G25" s="54" t="s">
        <v>252</v>
      </c>
      <c r="H25" s="54" t="s">
        <v>106</v>
      </c>
      <c r="I25" s="54" t="s">
        <v>2</v>
      </c>
      <c r="J25" s="90" t="s">
        <v>399</v>
      </c>
      <c r="K25" s="90" t="s">
        <v>76</v>
      </c>
      <c r="L25" s="92" t="s">
        <v>178</v>
      </c>
      <c r="M25" s="92" t="s">
        <v>178</v>
      </c>
      <c r="N25" s="54" t="s">
        <v>103</v>
      </c>
      <c r="O25" s="92">
        <v>932</v>
      </c>
      <c r="P25" s="84" t="s">
        <v>399</v>
      </c>
      <c r="Q25" s="84" t="s">
        <v>399</v>
      </c>
      <c r="R25" s="54" t="s">
        <v>334</v>
      </c>
      <c r="S25" s="90" t="s">
        <v>399</v>
      </c>
      <c r="T25" s="54" t="s">
        <v>178</v>
      </c>
      <c r="U25" s="113" t="s">
        <v>178</v>
      </c>
      <c r="V25" s="90" t="s">
        <v>399</v>
      </c>
      <c r="W25" s="90" t="s">
        <v>399</v>
      </c>
      <c r="X25" s="90" t="s">
        <v>178</v>
      </c>
      <c r="Y25" s="90"/>
      <c r="Z25" s="54" t="s">
        <v>443</v>
      </c>
      <c r="AA25" s="54" t="s">
        <v>2</v>
      </c>
      <c r="AB25" s="54">
        <v>2012</v>
      </c>
      <c r="AC25" s="92">
        <v>0</v>
      </c>
      <c r="AD25" s="54" t="s">
        <v>178</v>
      </c>
      <c r="AE25" s="54"/>
    </row>
    <row r="26" spans="1:31" ht="26.4" x14ac:dyDescent="0.3">
      <c r="A26" s="54" t="s">
        <v>582</v>
      </c>
      <c r="B26" s="54">
        <v>2300</v>
      </c>
      <c r="C26" s="54" t="s">
        <v>77</v>
      </c>
      <c r="D26" s="54" t="s">
        <v>178</v>
      </c>
      <c r="E26" s="54" t="s">
        <v>19</v>
      </c>
      <c r="F26" s="54" t="s">
        <v>357</v>
      </c>
      <c r="G26" s="54" t="s">
        <v>252</v>
      </c>
      <c r="H26" s="54" t="s">
        <v>106</v>
      </c>
      <c r="I26" s="54" t="s">
        <v>2</v>
      </c>
      <c r="J26" s="90" t="s">
        <v>399</v>
      </c>
      <c r="K26" s="90" t="s">
        <v>76</v>
      </c>
      <c r="L26" s="92" t="s">
        <v>178</v>
      </c>
      <c r="M26" s="92" t="s">
        <v>178</v>
      </c>
      <c r="N26" s="54" t="s">
        <v>103</v>
      </c>
      <c r="O26" s="92">
        <v>1314</v>
      </c>
      <c r="P26" s="84" t="s">
        <v>399</v>
      </c>
      <c r="Q26" s="84" t="s">
        <v>399</v>
      </c>
      <c r="R26" s="54" t="s">
        <v>334</v>
      </c>
      <c r="S26" s="90" t="s">
        <v>399</v>
      </c>
      <c r="T26" s="54" t="s">
        <v>178</v>
      </c>
      <c r="U26" s="113" t="s">
        <v>178</v>
      </c>
      <c r="V26" s="90" t="s">
        <v>399</v>
      </c>
      <c r="W26" s="90" t="s">
        <v>399</v>
      </c>
      <c r="X26" s="90" t="s">
        <v>178</v>
      </c>
      <c r="Y26" s="90"/>
      <c r="Z26" s="54" t="s">
        <v>443</v>
      </c>
      <c r="AA26" s="54" t="s">
        <v>2</v>
      </c>
      <c r="AB26" s="54">
        <v>2012</v>
      </c>
      <c r="AC26" s="92">
        <v>0</v>
      </c>
      <c r="AD26" s="54" t="s">
        <v>178</v>
      </c>
      <c r="AE26" s="54"/>
    </row>
    <row r="27" spans="1:31" x14ac:dyDescent="0.3">
      <c r="A27" s="54" t="s">
        <v>582</v>
      </c>
      <c r="B27" s="54">
        <v>2301</v>
      </c>
      <c r="C27" s="54" t="s">
        <v>77</v>
      </c>
      <c r="D27" s="54" t="s">
        <v>178</v>
      </c>
      <c r="E27" s="54" t="s">
        <v>63</v>
      </c>
      <c r="F27" s="54" t="s">
        <v>3</v>
      </c>
      <c r="G27" s="54" t="s">
        <v>82</v>
      </c>
      <c r="H27" s="54" t="s">
        <v>3</v>
      </c>
      <c r="I27" s="54" t="s">
        <v>1</v>
      </c>
      <c r="J27" s="90" t="s">
        <v>951</v>
      </c>
      <c r="K27" s="90" t="s">
        <v>178</v>
      </c>
      <c r="L27" s="118">
        <v>245.7507490952089</v>
      </c>
      <c r="M27" s="118">
        <v>140.54965445521</v>
      </c>
      <c r="N27" s="54" t="s">
        <v>103</v>
      </c>
      <c r="O27" s="92" t="s">
        <v>178</v>
      </c>
      <c r="P27" s="84" t="s">
        <v>399</v>
      </c>
      <c r="Q27" s="49">
        <v>360000</v>
      </c>
      <c r="R27" s="54" t="s">
        <v>334</v>
      </c>
      <c r="S27" s="90" t="s">
        <v>399</v>
      </c>
      <c r="T27" s="54" t="s">
        <v>178</v>
      </c>
      <c r="U27" s="113" t="s">
        <v>178</v>
      </c>
      <c r="V27" s="90" t="s">
        <v>399</v>
      </c>
      <c r="W27" s="90" t="s">
        <v>399</v>
      </c>
      <c r="X27" s="90" t="s">
        <v>178</v>
      </c>
      <c r="Y27" s="90"/>
      <c r="Z27" s="54" t="s">
        <v>446</v>
      </c>
      <c r="AA27" s="54" t="s">
        <v>1</v>
      </c>
      <c r="AB27" s="54">
        <v>2014</v>
      </c>
      <c r="AC27" s="92">
        <v>491.69372800000002</v>
      </c>
      <c r="AD27" s="54" t="s">
        <v>178</v>
      </c>
      <c r="AE27" s="54"/>
    </row>
    <row r="28" spans="1:31" x14ac:dyDescent="0.3">
      <c r="A28" s="54" t="s">
        <v>582</v>
      </c>
      <c r="B28" s="54">
        <v>2302</v>
      </c>
      <c r="C28" s="54" t="s">
        <v>77</v>
      </c>
      <c r="D28" s="54" t="s">
        <v>178</v>
      </c>
      <c r="E28" s="54" t="s">
        <v>67</v>
      </c>
      <c r="F28" s="54" t="s">
        <v>68</v>
      </c>
      <c r="G28" s="54" t="s">
        <v>99</v>
      </c>
      <c r="H28" s="54" t="s">
        <v>486</v>
      </c>
      <c r="I28" s="54" t="s">
        <v>2</v>
      </c>
      <c r="J28" s="90" t="s">
        <v>399</v>
      </c>
      <c r="K28" s="90" t="s">
        <v>951</v>
      </c>
      <c r="L28" s="92">
        <v>66149</v>
      </c>
      <c r="M28" s="92" t="s">
        <v>178</v>
      </c>
      <c r="N28" s="54" t="s">
        <v>103</v>
      </c>
      <c r="O28" s="92">
        <v>2560</v>
      </c>
      <c r="P28" s="84" t="s">
        <v>399</v>
      </c>
      <c r="Q28" s="84" t="s">
        <v>399</v>
      </c>
      <c r="R28" s="54" t="s">
        <v>334</v>
      </c>
      <c r="S28" s="90" t="s">
        <v>399</v>
      </c>
      <c r="T28" s="54" t="s">
        <v>178</v>
      </c>
      <c r="U28" s="113" t="s">
        <v>178</v>
      </c>
      <c r="V28" s="90" t="s">
        <v>399</v>
      </c>
      <c r="W28" s="90" t="s">
        <v>399</v>
      </c>
      <c r="X28" s="117" t="s">
        <v>178</v>
      </c>
      <c r="Y28" s="90"/>
      <c r="Z28" s="54" t="s">
        <v>443</v>
      </c>
      <c r="AA28" s="54" t="s">
        <v>2</v>
      </c>
      <c r="AB28" s="54">
        <v>2015</v>
      </c>
      <c r="AC28" s="92" t="s">
        <v>114</v>
      </c>
      <c r="AD28" s="54" t="s">
        <v>178</v>
      </c>
      <c r="AE28" s="54"/>
    </row>
    <row r="29" spans="1:31" ht="39.6" x14ac:dyDescent="0.3">
      <c r="A29" s="54" t="s">
        <v>582</v>
      </c>
      <c r="B29" s="54">
        <v>2332</v>
      </c>
      <c r="C29" s="54" t="s">
        <v>77</v>
      </c>
      <c r="D29" s="54" t="s">
        <v>178</v>
      </c>
      <c r="E29" s="54" t="s">
        <v>104</v>
      </c>
      <c r="F29" s="54" t="s">
        <v>105</v>
      </c>
      <c r="G29" s="54" t="s">
        <v>253</v>
      </c>
      <c r="H29" s="90" t="s">
        <v>452</v>
      </c>
      <c r="I29" s="115" t="s">
        <v>2</v>
      </c>
      <c r="J29" s="90" t="s">
        <v>951</v>
      </c>
      <c r="K29" s="90" t="s">
        <v>951</v>
      </c>
      <c r="L29" s="118">
        <v>109.32637887505491</v>
      </c>
      <c r="M29" s="118">
        <v>56.023288838789995</v>
      </c>
      <c r="N29" s="54" t="s">
        <v>103</v>
      </c>
      <c r="O29" s="54" t="s">
        <v>399</v>
      </c>
      <c r="P29" s="84" t="s">
        <v>399</v>
      </c>
      <c r="Q29" s="49">
        <v>170000</v>
      </c>
      <c r="R29" s="54" t="s">
        <v>334</v>
      </c>
      <c r="S29" s="90" t="s">
        <v>399</v>
      </c>
      <c r="T29" s="54" t="s">
        <v>178</v>
      </c>
      <c r="U29" s="113" t="s">
        <v>178</v>
      </c>
      <c r="V29" s="90" t="s">
        <v>399</v>
      </c>
      <c r="W29" s="90" t="s">
        <v>399</v>
      </c>
      <c r="X29" s="90" t="s">
        <v>178</v>
      </c>
      <c r="Y29" s="90"/>
      <c r="Z29" s="54" t="s">
        <v>446</v>
      </c>
      <c r="AA29" s="54"/>
      <c r="AB29" s="54">
        <v>2016</v>
      </c>
      <c r="AC29" s="92">
        <v>267.61928</v>
      </c>
      <c r="AD29" s="54" t="s">
        <v>178</v>
      </c>
      <c r="AE29" s="54"/>
    </row>
    <row r="30" spans="1:31" ht="26.4" x14ac:dyDescent="0.3">
      <c r="A30" s="54" t="s">
        <v>582</v>
      </c>
      <c r="B30" s="91">
        <v>4365</v>
      </c>
      <c r="C30" s="54" t="s">
        <v>77</v>
      </c>
      <c r="D30" s="54" t="s">
        <v>178</v>
      </c>
      <c r="E30" s="54" t="s">
        <v>421</v>
      </c>
      <c r="F30" s="54" t="s">
        <v>422</v>
      </c>
      <c r="G30" s="54" t="s">
        <v>425</v>
      </c>
      <c r="H30" s="93" t="s">
        <v>448</v>
      </c>
      <c r="I30" s="115" t="s">
        <v>2</v>
      </c>
      <c r="J30" s="90" t="s">
        <v>399</v>
      </c>
      <c r="K30" s="90" t="s">
        <v>860</v>
      </c>
      <c r="L30" s="92" t="s">
        <v>114</v>
      </c>
      <c r="M30" s="92" t="s">
        <v>114</v>
      </c>
      <c r="N30" s="54" t="s">
        <v>103</v>
      </c>
      <c r="O30" s="54">
        <v>5</v>
      </c>
      <c r="P30" s="84" t="s">
        <v>399</v>
      </c>
      <c r="Q30" s="84" t="s">
        <v>399</v>
      </c>
      <c r="R30" s="54" t="s">
        <v>77</v>
      </c>
      <c r="S30" s="90" t="s">
        <v>399</v>
      </c>
      <c r="T30" s="54" t="s">
        <v>178</v>
      </c>
      <c r="U30" s="113" t="s">
        <v>178</v>
      </c>
      <c r="V30" s="90" t="s">
        <v>1038</v>
      </c>
      <c r="W30" s="90" t="s">
        <v>1180</v>
      </c>
      <c r="X30" s="90" t="s">
        <v>178</v>
      </c>
      <c r="Y30" s="90"/>
      <c r="Z30" s="54" t="s">
        <v>443</v>
      </c>
      <c r="AA30" s="54" t="s">
        <v>2</v>
      </c>
      <c r="AB30" s="54">
        <v>2018</v>
      </c>
      <c r="AC30" s="54" t="s">
        <v>399</v>
      </c>
      <c r="AD30" s="54" t="s">
        <v>399</v>
      </c>
      <c r="AE30" s="54"/>
    </row>
    <row r="31" spans="1:31" ht="39.6" x14ac:dyDescent="0.3">
      <c r="A31" s="54" t="s">
        <v>582</v>
      </c>
      <c r="B31" s="91">
        <v>4366</v>
      </c>
      <c r="C31" s="54" t="s">
        <v>77</v>
      </c>
      <c r="D31" s="54" t="s">
        <v>78</v>
      </c>
      <c r="E31" s="54" t="s">
        <v>423</v>
      </c>
      <c r="F31" s="54" t="s">
        <v>424</v>
      </c>
      <c r="G31" s="54" t="s">
        <v>426</v>
      </c>
      <c r="H31" s="93" t="s">
        <v>209</v>
      </c>
      <c r="I31" s="178" t="s">
        <v>118</v>
      </c>
      <c r="J31" s="90" t="s">
        <v>399</v>
      </c>
      <c r="K31" s="90" t="s">
        <v>114</v>
      </c>
      <c r="L31" s="92" t="s">
        <v>114</v>
      </c>
      <c r="M31" s="92" t="s">
        <v>114</v>
      </c>
      <c r="N31" s="54" t="s">
        <v>103</v>
      </c>
      <c r="O31" s="54" t="s">
        <v>178</v>
      </c>
      <c r="P31" s="84" t="s">
        <v>399</v>
      </c>
      <c r="Q31" s="84" t="s">
        <v>399</v>
      </c>
      <c r="R31" s="54" t="s">
        <v>77</v>
      </c>
      <c r="S31" s="90" t="s">
        <v>399</v>
      </c>
      <c r="T31" s="54" t="s">
        <v>178</v>
      </c>
      <c r="U31" s="113" t="s">
        <v>178</v>
      </c>
      <c r="V31" s="90" t="s">
        <v>1039</v>
      </c>
      <c r="W31" s="90" t="s">
        <v>1181</v>
      </c>
      <c r="X31" s="179" t="s">
        <v>1029</v>
      </c>
      <c r="Y31" s="90"/>
      <c r="Z31" s="54" t="s">
        <v>443</v>
      </c>
      <c r="AA31" s="54" t="s">
        <v>322</v>
      </c>
      <c r="AB31" s="54">
        <v>2018</v>
      </c>
      <c r="AC31" s="54" t="s">
        <v>399</v>
      </c>
      <c r="AD31" s="54" t="s">
        <v>399</v>
      </c>
      <c r="AE31" s="54"/>
    </row>
    <row r="32" spans="1:31" ht="39.6" x14ac:dyDescent="0.3">
      <c r="A32" s="54" t="s">
        <v>582</v>
      </c>
      <c r="B32" s="54">
        <v>4840</v>
      </c>
      <c r="C32" s="54" t="s">
        <v>77</v>
      </c>
      <c r="D32" s="54" t="s">
        <v>28</v>
      </c>
      <c r="E32" s="54" t="s">
        <v>545</v>
      </c>
      <c r="F32" s="54" t="s">
        <v>589</v>
      </c>
      <c r="G32" s="54" t="s">
        <v>585</v>
      </c>
      <c r="H32" s="93" t="s">
        <v>116</v>
      </c>
      <c r="I32" s="115" t="s">
        <v>322</v>
      </c>
      <c r="J32" s="90" t="s">
        <v>399</v>
      </c>
      <c r="K32" s="90" t="s">
        <v>114</v>
      </c>
      <c r="L32" s="92">
        <v>13.5</v>
      </c>
      <c r="M32" s="92">
        <v>18.8</v>
      </c>
      <c r="N32" s="54" t="s">
        <v>103</v>
      </c>
      <c r="O32" s="54">
        <v>30.55</v>
      </c>
      <c r="P32" s="84" t="s">
        <v>114</v>
      </c>
      <c r="Q32" s="84" t="s">
        <v>114</v>
      </c>
      <c r="R32" s="54" t="s">
        <v>399</v>
      </c>
      <c r="S32" s="90" t="s">
        <v>399</v>
      </c>
      <c r="T32" s="54" t="s">
        <v>178</v>
      </c>
      <c r="U32" s="113" t="s">
        <v>399</v>
      </c>
      <c r="V32" s="90" t="s">
        <v>1040</v>
      </c>
      <c r="W32" s="90" t="s">
        <v>1182</v>
      </c>
      <c r="X32" s="90" t="s">
        <v>178</v>
      </c>
      <c r="Y32" s="90"/>
      <c r="Z32" s="54" t="s">
        <v>443</v>
      </c>
      <c r="AA32" s="54" t="s">
        <v>322</v>
      </c>
      <c r="AB32" s="54">
        <v>2019</v>
      </c>
      <c r="AC32" s="92" t="s">
        <v>178</v>
      </c>
      <c r="AD32" s="54" t="s">
        <v>178</v>
      </c>
      <c r="AE32" s="54"/>
    </row>
    <row r="33" spans="1:31" ht="26.4" x14ac:dyDescent="0.3">
      <c r="A33" s="54" t="s">
        <v>582</v>
      </c>
      <c r="B33" s="54">
        <v>5172</v>
      </c>
      <c r="C33" s="54" t="s">
        <v>627</v>
      </c>
      <c r="D33" s="54" t="s">
        <v>723</v>
      </c>
      <c r="E33" s="54" t="s">
        <v>628</v>
      </c>
      <c r="F33" s="54" t="s">
        <v>602</v>
      </c>
      <c r="G33" s="54" t="s">
        <v>603</v>
      </c>
      <c r="H33" s="93" t="s">
        <v>12</v>
      </c>
      <c r="I33" s="54" t="s">
        <v>118</v>
      </c>
      <c r="J33" s="61" t="s">
        <v>950</v>
      </c>
      <c r="K33" s="90" t="s">
        <v>178</v>
      </c>
      <c r="L33" s="92" t="s">
        <v>178</v>
      </c>
      <c r="M33" s="92" t="s">
        <v>178</v>
      </c>
      <c r="N33" s="54" t="s">
        <v>762</v>
      </c>
      <c r="O33" s="54" t="s">
        <v>178</v>
      </c>
      <c r="P33" s="111">
        <v>500</v>
      </c>
      <c r="Q33" s="84" t="s">
        <v>178</v>
      </c>
      <c r="R33" s="54" t="s">
        <v>627</v>
      </c>
      <c r="S33" s="61" t="s">
        <v>974</v>
      </c>
      <c r="T33" s="54" t="s">
        <v>178</v>
      </c>
      <c r="U33" s="113" t="s">
        <v>178</v>
      </c>
      <c r="V33" s="61" t="s">
        <v>1041</v>
      </c>
      <c r="W33" s="61" t="s">
        <v>1183</v>
      </c>
      <c r="X33" s="90" t="s">
        <v>178</v>
      </c>
      <c r="Y33" s="90"/>
      <c r="Z33" s="54" t="s">
        <v>446</v>
      </c>
      <c r="AA33" s="54"/>
      <c r="AB33" s="54">
        <v>2019</v>
      </c>
      <c r="AC33" s="92" t="s">
        <v>178</v>
      </c>
      <c r="AD33" s="54" t="s">
        <v>178</v>
      </c>
      <c r="AE33" s="54"/>
    </row>
    <row r="34" spans="1:31" ht="26.4" x14ac:dyDescent="0.3">
      <c r="A34" s="54" t="s">
        <v>582</v>
      </c>
      <c r="B34" s="54">
        <v>5173</v>
      </c>
      <c r="C34" s="54" t="s">
        <v>627</v>
      </c>
      <c r="D34" s="54" t="s">
        <v>96</v>
      </c>
      <c r="E34" s="54" t="s">
        <v>629</v>
      </c>
      <c r="F34" s="54" t="s">
        <v>605</v>
      </c>
      <c r="G34" s="54" t="s">
        <v>606</v>
      </c>
      <c r="H34" s="54" t="s">
        <v>444</v>
      </c>
      <c r="I34" s="54" t="s">
        <v>118</v>
      </c>
      <c r="J34" s="61" t="s">
        <v>950</v>
      </c>
      <c r="K34" s="90" t="s">
        <v>178</v>
      </c>
      <c r="L34" s="92" t="s">
        <v>178</v>
      </c>
      <c r="M34" s="92" t="s">
        <v>178</v>
      </c>
      <c r="N34" s="54" t="s">
        <v>762</v>
      </c>
      <c r="O34" s="54" t="s">
        <v>178</v>
      </c>
      <c r="P34" s="111">
        <v>1000</v>
      </c>
      <c r="Q34" s="84" t="s">
        <v>178</v>
      </c>
      <c r="R34" s="54" t="s">
        <v>627</v>
      </c>
      <c r="S34" s="61" t="s">
        <v>975</v>
      </c>
      <c r="T34" s="54" t="s">
        <v>178</v>
      </c>
      <c r="U34" s="113" t="s">
        <v>178</v>
      </c>
      <c r="V34" s="61" t="s">
        <v>1041</v>
      </c>
      <c r="W34" s="61" t="s">
        <v>1183</v>
      </c>
      <c r="X34" s="90" t="s">
        <v>178</v>
      </c>
      <c r="Y34" s="90"/>
      <c r="Z34" s="54" t="s">
        <v>446</v>
      </c>
      <c r="AA34" s="54"/>
      <c r="AB34" s="54">
        <v>2019</v>
      </c>
      <c r="AC34" s="92" t="s">
        <v>178</v>
      </c>
      <c r="AD34" s="54" t="s">
        <v>178</v>
      </c>
      <c r="AE34" s="54"/>
    </row>
    <row r="35" spans="1:31" ht="26.4" x14ac:dyDescent="0.3">
      <c r="A35" s="54" t="s">
        <v>582</v>
      </c>
      <c r="B35" s="54">
        <v>5174</v>
      </c>
      <c r="C35" s="54" t="s">
        <v>627</v>
      </c>
      <c r="D35" s="54" t="s">
        <v>178</v>
      </c>
      <c r="E35" s="54" t="s">
        <v>630</v>
      </c>
      <c r="F35" s="54" t="s">
        <v>608</v>
      </c>
      <c r="G35" s="146" t="s">
        <v>926</v>
      </c>
      <c r="H35" s="54" t="s">
        <v>107</v>
      </c>
      <c r="I35" s="54" t="s">
        <v>2</v>
      </c>
      <c r="J35" s="61" t="s">
        <v>798</v>
      </c>
      <c r="K35" s="90" t="s">
        <v>798</v>
      </c>
      <c r="L35" s="92" t="s">
        <v>178</v>
      </c>
      <c r="M35" s="92" t="s">
        <v>178</v>
      </c>
      <c r="N35" s="54" t="s">
        <v>762</v>
      </c>
      <c r="O35" s="54" t="s">
        <v>178</v>
      </c>
      <c r="P35" s="111">
        <v>0</v>
      </c>
      <c r="Q35" s="84" t="s">
        <v>178</v>
      </c>
      <c r="R35" s="54" t="s">
        <v>627</v>
      </c>
      <c r="S35" s="149" t="s">
        <v>178</v>
      </c>
      <c r="T35" s="54" t="s">
        <v>178</v>
      </c>
      <c r="U35" s="113" t="s">
        <v>178</v>
      </c>
      <c r="V35" s="61" t="s">
        <v>1042</v>
      </c>
      <c r="W35" s="61" t="s">
        <v>1184</v>
      </c>
      <c r="X35" s="90" t="s">
        <v>178</v>
      </c>
      <c r="Y35" s="90"/>
      <c r="Z35" s="54" t="s">
        <v>446</v>
      </c>
      <c r="AA35" s="54"/>
      <c r="AB35" s="54">
        <v>2019</v>
      </c>
      <c r="AC35" s="92" t="s">
        <v>178</v>
      </c>
      <c r="AD35" s="54" t="s">
        <v>178</v>
      </c>
      <c r="AE35" s="54"/>
    </row>
    <row r="36" spans="1:31" ht="39.6" x14ac:dyDescent="0.3">
      <c r="A36" s="54" t="s">
        <v>582</v>
      </c>
      <c r="B36" s="54">
        <v>5175</v>
      </c>
      <c r="C36" s="54" t="s">
        <v>627</v>
      </c>
      <c r="D36" s="54" t="s">
        <v>178</v>
      </c>
      <c r="E36" s="54" t="s">
        <v>631</v>
      </c>
      <c r="F36" s="54" t="s">
        <v>613</v>
      </c>
      <c r="G36" s="54" t="s">
        <v>614</v>
      </c>
      <c r="H36" s="54" t="s">
        <v>106</v>
      </c>
      <c r="I36" s="115" t="s">
        <v>1</v>
      </c>
      <c r="J36" s="61" t="s">
        <v>798</v>
      </c>
      <c r="K36" s="90" t="s">
        <v>178</v>
      </c>
      <c r="L36" s="92" t="s">
        <v>178</v>
      </c>
      <c r="M36" s="92" t="s">
        <v>178</v>
      </c>
      <c r="N36" s="54" t="s">
        <v>762</v>
      </c>
      <c r="O36" s="54" t="s">
        <v>178</v>
      </c>
      <c r="P36" s="111">
        <v>22500</v>
      </c>
      <c r="Q36" s="84" t="s">
        <v>178</v>
      </c>
      <c r="R36" s="54" t="s">
        <v>627</v>
      </c>
      <c r="S36" s="61" t="s">
        <v>976</v>
      </c>
      <c r="T36" s="54" t="s">
        <v>178</v>
      </c>
      <c r="U36" s="113" t="s">
        <v>178</v>
      </c>
      <c r="V36" s="61" t="s">
        <v>1043</v>
      </c>
      <c r="W36" s="61" t="s">
        <v>1185</v>
      </c>
      <c r="X36" s="90" t="s">
        <v>178</v>
      </c>
      <c r="Y36" s="90"/>
      <c r="Z36" s="54" t="s">
        <v>443</v>
      </c>
      <c r="AA36" s="54"/>
      <c r="AB36" s="54">
        <v>2019</v>
      </c>
      <c r="AC36" s="92" t="s">
        <v>178</v>
      </c>
      <c r="AD36" s="54" t="s">
        <v>178</v>
      </c>
      <c r="AE36" s="54"/>
    </row>
    <row r="37" spans="1:31" ht="26.4" x14ac:dyDescent="0.3">
      <c r="A37" s="54" t="s">
        <v>582</v>
      </c>
      <c r="B37" s="54">
        <v>5176</v>
      </c>
      <c r="C37" s="54" t="s">
        <v>627</v>
      </c>
      <c r="D37" s="54" t="s">
        <v>178</v>
      </c>
      <c r="E37" s="54" t="s">
        <v>632</v>
      </c>
      <c r="F37" s="54" t="s">
        <v>633</v>
      </c>
      <c r="G37" s="54" t="s">
        <v>634</v>
      </c>
      <c r="H37" s="54" t="s">
        <v>219</v>
      </c>
      <c r="I37" s="115" t="s">
        <v>118</v>
      </c>
      <c r="J37" s="61" t="s">
        <v>798</v>
      </c>
      <c r="K37" s="90" t="s">
        <v>178</v>
      </c>
      <c r="L37" s="92" t="s">
        <v>178</v>
      </c>
      <c r="M37" s="92" t="s">
        <v>178</v>
      </c>
      <c r="N37" s="54" t="s">
        <v>762</v>
      </c>
      <c r="O37" s="54" t="s">
        <v>178</v>
      </c>
      <c r="P37" s="111">
        <v>2000</v>
      </c>
      <c r="Q37" s="84" t="s">
        <v>178</v>
      </c>
      <c r="R37" s="54" t="s">
        <v>627</v>
      </c>
      <c r="S37" s="61" t="s">
        <v>977</v>
      </c>
      <c r="T37" s="54" t="s">
        <v>178</v>
      </c>
      <c r="U37" s="113" t="s">
        <v>178</v>
      </c>
      <c r="V37" s="61" t="s">
        <v>1042</v>
      </c>
      <c r="W37" s="61" t="s">
        <v>1184</v>
      </c>
      <c r="X37" s="90" t="s">
        <v>178</v>
      </c>
      <c r="Y37" s="90"/>
      <c r="Z37" s="54" t="s">
        <v>446</v>
      </c>
      <c r="AA37" s="54"/>
      <c r="AB37" s="54">
        <v>2019</v>
      </c>
      <c r="AC37" s="92" t="s">
        <v>178</v>
      </c>
      <c r="AD37" s="54" t="s">
        <v>178</v>
      </c>
      <c r="AE37" s="54"/>
    </row>
    <row r="38" spans="1:31" ht="52.8" x14ac:dyDescent="0.3">
      <c r="A38" s="54" t="s">
        <v>582</v>
      </c>
      <c r="B38" s="54">
        <v>2331</v>
      </c>
      <c r="C38" s="54" t="s">
        <v>58</v>
      </c>
      <c r="D38" s="54" t="s">
        <v>399</v>
      </c>
      <c r="E38" s="54" t="s">
        <v>139</v>
      </c>
      <c r="F38" s="54" t="s">
        <v>12</v>
      </c>
      <c r="G38" s="54" t="s">
        <v>331</v>
      </c>
      <c r="H38" s="54" t="s">
        <v>12</v>
      </c>
      <c r="I38" s="115" t="s">
        <v>1</v>
      </c>
      <c r="J38" s="90" t="s">
        <v>399</v>
      </c>
      <c r="K38" s="90" t="s">
        <v>178</v>
      </c>
      <c r="L38" s="92">
        <v>1272.2774924126636</v>
      </c>
      <c r="M38" s="92">
        <v>212.39781875572319</v>
      </c>
      <c r="N38" s="54" t="s">
        <v>764</v>
      </c>
      <c r="O38" s="92" t="s">
        <v>178</v>
      </c>
      <c r="P38" s="84" t="s">
        <v>399</v>
      </c>
      <c r="Q38" s="84" t="s">
        <v>399</v>
      </c>
      <c r="R38" s="54" t="s">
        <v>399</v>
      </c>
      <c r="S38" s="90" t="s">
        <v>399</v>
      </c>
      <c r="T38" s="54" t="s">
        <v>178</v>
      </c>
      <c r="U38" s="113" t="s">
        <v>178</v>
      </c>
      <c r="V38" s="90" t="s">
        <v>399</v>
      </c>
      <c r="W38" s="90" t="s">
        <v>399</v>
      </c>
      <c r="X38" s="90" t="s">
        <v>178</v>
      </c>
      <c r="Y38" s="90"/>
      <c r="Z38" s="54" t="s">
        <v>446</v>
      </c>
      <c r="AA38" s="54" t="s">
        <v>1</v>
      </c>
      <c r="AB38" s="54">
        <v>2012</v>
      </c>
      <c r="AC38" s="92">
        <v>172.71195788</v>
      </c>
      <c r="AD38" s="54" t="s">
        <v>178</v>
      </c>
      <c r="AE38" s="54"/>
    </row>
    <row r="39" spans="1:31" ht="26.4" x14ac:dyDescent="0.3">
      <c r="A39" s="54" t="s">
        <v>582</v>
      </c>
      <c r="B39" s="54">
        <v>5177</v>
      </c>
      <c r="C39" s="54" t="s">
        <v>635</v>
      </c>
      <c r="D39" s="54" t="s">
        <v>722</v>
      </c>
      <c r="E39" s="54" t="s">
        <v>636</v>
      </c>
      <c r="F39" s="54" t="s">
        <v>602</v>
      </c>
      <c r="G39" s="54" t="s">
        <v>603</v>
      </c>
      <c r="H39" s="54" t="s">
        <v>12</v>
      </c>
      <c r="I39" s="54" t="s">
        <v>118</v>
      </c>
      <c r="J39" s="90" t="s">
        <v>399</v>
      </c>
      <c r="K39" s="90" t="s">
        <v>178</v>
      </c>
      <c r="L39" s="92" t="s">
        <v>178</v>
      </c>
      <c r="M39" s="92" t="s">
        <v>178</v>
      </c>
      <c r="N39" s="54" t="s">
        <v>763</v>
      </c>
      <c r="O39" s="92" t="s">
        <v>178</v>
      </c>
      <c r="P39" s="84" t="s">
        <v>399</v>
      </c>
      <c r="Q39" s="84" t="s">
        <v>178</v>
      </c>
      <c r="R39" s="54" t="s">
        <v>635</v>
      </c>
      <c r="S39" s="90" t="s">
        <v>399</v>
      </c>
      <c r="T39" s="54" t="s">
        <v>178</v>
      </c>
      <c r="U39" s="113" t="s">
        <v>178</v>
      </c>
      <c r="V39" s="90" t="s">
        <v>399</v>
      </c>
      <c r="W39" s="90" t="s">
        <v>399</v>
      </c>
      <c r="X39" s="90" t="s">
        <v>178</v>
      </c>
      <c r="Y39" s="90"/>
      <c r="Z39" s="54" t="s">
        <v>446</v>
      </c>
      <c r="AA39" s="54"/>
      <c r="AB39" s="54">
        <v>2019</v>
      </c>
      <c r="AC39" s="92" t="s">
        <v>178</v>
      </c>
      <c r="AD39" s="54" t="s">
        <v>178</v>
      </c>
      <c r="AE39" s="54"/>
    </row>
    <row r="40" spans="1:31" ht="26.4" x14ac:dyDescent="0.3">
      <c r="A40" s="54" t="s">
        <v>582</v>
      </c>
      <c r="B40" s="54">
        <v>5178</v>
      </c>
      <c r="C40" s="54" t="s">
        <v>635</v>
      </c>
      <c r="D40" s="54" t="s">
        <v>96</v>
      </c>
      <c r="E40" s="54" t="s">
        <v>637</v>
      </c>
      <c r="F40" s="54" t="s">
        <v>605</v>
      </c>
      <c r="G40" s="54" t="s">
        <v>606</v>
      </c>
      <c r="H40" s="54" t="s">
        <v>444</v>
      </c>
      <c r="I40" s="115" t="s">
        <v>118</v>
      </c>
      <c r="J40" s="90" t="s">
        <v>399</v>
      </c>
      <c r="K40" s="90" t="s">
        <v>178</v>
      </c>
      <c r="L40" s="92" t="s">
        <v>178</v>
      </c>
      <c r="M40" s="92" t="s">
        <v>178</v>
      </c>
      <c r="N40" s="54" t="s">
        <v>763</v>
      </c>
      <c r="O40" s="92" t="s">
        <v>178</v>
      </c>
      <c r="P40" s="84" t="s">
        <v>399</v>
      </c>
      <c r="Q40" s="84" t="s">
        <v>178</v>
      </c>
      <c r="R40" s="54" t="s">
        <v>635</v>
      </c>
      <c r="S40" s="90" t="s">
        <v>399</v>
      </c>
      <c r="T40" s="54" t="s">
        <v>178</v>
      </c>
      <c r="U40" s="113" t="s">
        <v>178</v>
      </c>
      <c r="V40" s="90" t="s">
        <v>399</v>
      </c>
      <c r="W40" s="90" t="s">
        <v>399</v>
      </c>
      <c r="X40" s="90" t="s">
        <v>178</v>
      </c>
      <c r="Y40" s="90"/>
      <c r="Z40" s="54" t="s">
        <v>446</v>
      </c>
      <c r="AA40" s="54"/>
      <c r="AB40" s="54">
        <v>2019</v>
      </c>
      <c r="AC40" s="92" t="s">
        <v>178</v>
      </c>
      <c r="AD40" s="54" t="s">
        <v>178</v>
      </c>
      <c r="AE40" s="54"/>
    </row>
    <row r="41" spans="1:31" ht="26.4" x14ac:dyDescent="0.3">
      <c r="A41" s="54" t="s">
        <v>582</v>
      </c>
      <c r="B41" s="54">
        <v>5179</v>
      </c>
      <c r="C41" s="54" t="s">
        <v>635</v>
      </c>
      <c r="D41" s="54" t="s">
        <v>178</v>
      </c>
      <c r="E41" s="54" t="s">
        <v>638</v>
      </c>
      <c r="F41" s="54" t="s">
        <v>608</v>
      </c>
      <c r="G41" s="146" t="s">
        <v>926</v>
      </c>
      <c r="H41" s="54" t="s">
        <v>107</v>
      </c>
      <c r="I41" s="115" t="s">
        <v>2</v>
      </c>
      <c r="J41" s="90" t="s">
        <v>399</v>
      </c>
      <c r="K41" s="102" t="s">
        <v>798</v>
      </c>
      <c r="L41" s="92" t="s">
        <v>178</v>
      </c>
      <c r="M41" s="92" t="s">
        <v>178</v>
      </c>
      <c r="N41" s="54" t="s">
        <v>763</v>
      </c>
      <c r="O41" s="92" t="s">
        <v>178</v>
      </c>
      <c r="P41" s="84" t="s">
        <v>399</v>
      </c>
      <c r="Q41" s="84" t="s">
        <v>178</v>
      </c>
      <c r="R41" s="54" t="s">
        <v>635</v>
      </c>
      <c r="S41" s="90" t="s">
        <v>399</v>
      </c>
      <c r="T41" s="54" t="s">
        <v>178</v>
      </c>
      <c r="U41" s="113" t="s">
        <v>178</v>
      </c>
      <c r="V41" s="90" t="s">
        <v>399</v>
      </c>
      <c r="W41" s="90" t="s">
        <v>399</v>
      </c>
      <c r="X41" s="90" t="s">
        <v>178</v>
      </c>
      <c r="Y41" s="90"/>
      <c r="Z41" s="54" t="s">
        <v>446</v>
      </c>
      <c r="AA41" s="54"/>
      <c r="AB41" s="54">
        <v>2019</v>
      </c>
      <c r="AC41" s="92" t="s">
        <v>178</v>
      </c>
      <c r="AD41" s="54" t="s">
        <v>178</v>
      </c>
      <c r="AE41" s="54"/>
    </row>
    <row r="42" spans="1:31" ht="39.6" x14ac:dyDescent="0.3">
      <c r="A42" s="54" t="s">
        <v>582</v>
      </c>
      <c r="B42" s="54">
        <v>5180</v>
      </c>
      <c r="C42" s="54" t="s">
        <v>635</v>
      </c>
      <c r="D42" s="54" t="s">
        <v>178</v>
      </c>
      <c r="E42" s="54" t="s">
        <v>639</v>
      </c>
      <c r="F42" s="54" t="s">
        <v>640</v>
      </c>
      <c r="G42" s="54" t="s">
        <v>641</v>
      </c>
      <c r="H42" s="93" t="s">
        <v>480</v>
      </c>
      <c r="I42" s="115" t="s">
        <v>118</v>
      </c>
      <c r="J42" s="90" t="s">
        <v>399</v>
      </c>
      <c r="K42" s="90" t="s">
        <v>178</v>
      </c>
      <c r="L42" s="92" t="s">
        <v>178</v>
      </c>
      <c r="M42" s="92" t="s">
        <v>178</v>
      </c>
      <c r="N42" s="54" t="s">
        <v>763</v>
      </c>
      <c r="O42" s="92" t="s">
        <v>178</v>
      </c>
      <c r="P42" s="84" t="s">
        <v>399</v>
      </c>
      <c r="Q42" s="84" t="s">
        <v>178</v>
      </c>
      <c r="R42" s="54" t="s">
        <v>635</v>
      </c>
      <c r="S42" s="90" t="s">
        <v>399</v>
      </c>
      <c r="T42" s="54" t="s">
        <v>178</v>
      </c>
      <c r="U42" s="113" t="s">
        <v>178</v>
      </c>
      <c r="V42" s="90" t="s">
        <v>399</v>
      </c>
      <c r="W42" s="90" t="s">
        <v>399</v>
      </c>
      <c r="X42" s="90" t="s">
        <v>178</v>
      </c>
      <c r="Y42" s="90"/>
      <c r="Z42" s="54" t="s">
        <v>446</v>
      </c>
      <c r="AA42" s="54"/>
      <c r="AB42" s="54">
        <v>2019</v>
      </c>
      <c r="AC42" s="92" t="s">
        <v>178</v>
      </c>
      <c r="AD42" s="54" t="s">
        <v>178</v>
      </c>
      <c r="AE42" s="54"/>
    </row>
    <row r="43" spans="1:31" ht="26.4" x14ac:dyDescent="0.3">
      <c r="A43" s="54" t="s">
        <v>582</v>
      </c>
      <c r="B43" s="54">
        <v>5181</v>
      </c>
      <c r="C43" s="54" t="s">
        <v>635</v>
      </c>
      <c r="D43" s="54" t="s">
        <v>178</v>
      </c>
      <c r="E43" s="54" t="s">
        <v>642</v>
      </c>
      <c r="F43" s="54" t="s">
        <v>613</v>
      </c>
      <c r="G43" s="54" t="s">
        <v>614</v>
      </c>
      <c r="H43" s="93" t="s">
        <v>106</v>
      </c>
      <c r="I43" s="115" t="s">
        <v>1</v>
      </c>
      <c r="J43" s="90" t="s">
        <v>399</v>
      </c>
      <c r="K43" s="90" t="s">
        <v>178</v>
      </c>
      <c r="L43" s="92" t="s">
        <v>178</v>
      </c>
      <c r="M43" s="92" t="s">
        <v>178</v>
      </c>
      <c r="N43" s="54" t="s">
        <v>763</v>
      </c>
      <c r="O43" s="92" t="s">
        <v>178</v>
      </c>
      <c r="P43" s="84" t="s">
        <v>399</v>
      </c>
      <c r="Q43" s="84" t="s">
        <v>178</v>
      </c>
      <c r="R43" s="54" t="s">
        <v>635</v>
      </c>
      <c r="S43" s="90" t="s">
        <v>399</v>
      </c>
      <c r="T43" s="54" t="s">
        <v>178</v>
      </c>
      <c r="U43" s="113" t="s">
        <v>178</v>
      </c>
      <c r="V43" s="90" t="s">
        <v>399</v>
      </c>
      <c r="W43" s="90" t="s">
        <v>399</v>
      </c>
      <c r="X43" s="90" t="s">
        <v>178</v>
      </c>
      <c r="Y43" s="90"/>
      <c r="Z43" s="54" t="s">
        <v>443</v>
      </c>
      <c r="AA43" s="54"/>
      <c r="AB43" s="54">
        <v>2019</v>
      </c>
      <c r="AC43" s="92" t="s">
        <v>178</v>
      </c>
      <c r="AD43" s="54" t="s">
        <v>178</v>
      </c>
      <c r="AE43" s="54"/>
    </row>
    <row r="44" spans="1:31" x14ac:dyDescent="0.25">
      <c r="A44" s="59" t="s">
        <v>582</v>
      </c>
      <c r="B44" s="59">
        <v>5734</v>
      </c>
      <c r="C44" s="121" t="s">
        <v>546</v>
      </c>
      <c r="D44" s="146" t="s">
        <v>178</v>
      </c>
      <c r="E44" s="113" t="s">
        <v>889</v>
      </c>
      <c r="F44" s="59" t="s">
        <v>886</v>
      </c>
      <c r="G44" s="59" t="s">
        <v>892</v>
      </c>
      <c r="H44" s="122" t="s">
        <v>333</v>
      </c>
      <c r="I44" s="123" t="s">
        <v>2</v>
      </c>
      <c r="J44" s="61" t="s">
        <v>954</v>
      </c>
      <c r="K44" s="117" t="s">
        <v>76</v>
      </c>
      <c r="L44" s="118">
        <v>18.7</v>
      </c>
      <c r="M44" s="118">
        <v>1.4</v>
      </c>
      <c r="N44" s="59" t="s">
        <v>762</v>
      </c>
      <c r="O44" s="113">
        <v>68</v>
      </c>
      <c r="P44" s="111" t="s">
        <v>178</v>
      </c>
      <c r="Q44" s="111" t="s">
        <v>178</v>
      </c>
      <c r="R44" s="59" t="s">
        <v>178</v>
      </c>
      <c r="S44" s="61" t="s">
        <v>178</v>
      </c>
      <c r="T44" s="59" t="s">
        <v>178</v>
      </c>
      <c r="U44" s="59" t="s">
        <v>178</v>
      </c>
      <c r="V44" s="61" t="s">
        <v>1044</v>
      </c>
      <c r="W44" s="61" t="s">
        <v>1186</v>
      </c>
      <c r="X44" s="61" t="s">
        <v>178</v>
      </c>
      <c r="Y44" s="61" t="s">
        <v>837</v>
      </c>
      <c r="Z44" s="54" t="s">
        <v>443</v>
      </c>
      <c r="AA44" s="54"/>
      <c r="AB44" s="113">
        <v>2020</v>
      </c>
      <c r="AC44" s="113" t="s">
        <v>178</v>
      </c>
      <c r="AD44" s="113" t="s">
        <v>178</v>
      </c>
      <c r="AE44" s="54"/>
    </row>
    <row r="45" spans="1:31" ht="26.4" x14ac:dyDescent="0.25">
      <c r="A45" s="59" t="s">
        <v>582</v>
      </c>
      <c r="B45" s="59">
        <v>5735</v>
      </c>
      <c r="C45" s="121" t="s">
        <v>546</v>
      </c>
      <c r="D45" s="59" t="s">
        <v>897</v>
      </c>
      <c r="E45" s="113" t="s">
        <v>890</v>
      </c>
      <c r="F45" s="59" t="s">
        <v>887</v>
      </c>
      <c r="G45" s="59" t="s">
        <v>893</v>
      </c>
      <c r="H45" s="122" t="s">
        <v>108</v>
      </c>
      <c r="I45" s="123" t="s">
        <v>2</v>
      </c>
      <c r="J45" s="61" t="s">
        <v>954</v>
      </c>
      <c r="K45" s="117" t="s">
        <v>76</v>
      </c>
      <c r="L45" s="118">
        <v>1.4</v>
      </c>
      <c r="M45" s="118">
        <v>0.6</v>
      </c>
      <c r="N45" s="59" t="s">
        <v>762</v>
      </c>
      <c r="O45" s="113">
        <v>7.2</v>
      </c>
      <c r="P45" s="111" t="s">
        <v>178</v>
      </c>
      <c r="Q45" s="111" t="s">
        <v>178</v>
      </c>
      <c r="R45" s="59" t="s">
        <v>178</v>
      </c>
      <c r="S45" s="61" t="s">
        <v>178</v>
      </c>
      <c r="T45" s="59" t="s">
        <v>178</v>
      </c>
      <c r="U45" s="59" t="s">
        <v>178</v>
      </c>
      <c r="V45" s="61" t="s">
        <v>1045</v>
      </c>
      <c r="W45" s="61" t="s">
        <v>1187</v>
      </c>
      <c r="X45" s="61" t="s">
        <v>178</v>
      </c>
      <c r="Y45" s="61" t="s">
        <v>837</v>
      </c>
      <c r="Z45" s="54" t="s">
        <v>443</v>
      </c>
      <c r="AA45" s="54"/>
      <c r="AB45" s="113">
        <v>2020</v>
      </c>
      <c r="AC45" s="113" t="s">
        <v>178</v>
      </c>
      <c r="AD45" s="113" t="s">
        <v>178</v>
      </c>
      <c r="AE45" s="54"/>
    </row>
    <row r="46" spans="1:31" ht="26.4" x14ac:dyDescent="0.25">
      <c r="A46" s="59" t="s">
        <v>582</v>
      </c>
      <c r="B46" s="59">
        <v>5736</v>
      </c>
      <c r="C46" s="121" t="s">
        <v>546</v>
      </c>
      <c r="D46" s="146" t="s">
        <v>178</v>
      </c>
      <c r="E46" s="113" t="s">
        <v>891</v>
      </c>
      <c r="F46" s="59" t="s">
        <v>888</v>
      </c>
      <c r="G46" s="59" t="s">
        <v>894</v>
      </c>
      <c r="H46" s="122" t="s">
        <v>431</v>
      </c>
      <c r="I46" s="59" t="s">
        <v>322</v>
      </c>
      <c r="J46" s="61" t="s">
        <v>798</v>
      </c>
      <c r="K46" s="61" t="s">
        <v>114</v>
      </c>
      <c r="L46" s="118">
        <v>37.700000000000003</v>
      </c>
      <c r="M46" s="118">
        <v>6.3</v>
      </c>
      <c r="N46" s="59" t="s">
        <v>762</v>
      </c>
      <c r="O46" s="113">
        <v>22.7</v>
      </c>
      <c r="P46" s="111">
        <v>461000</v>
      </c>
      <c r="Q46" s="111" t="s">
        <v>114</v>
      </c>
      <c r="R46" s="59" t="s">
        <v>895</v>
      </c>
      <c r="S46" s="61" t="s">
        <v>978</v>
      </c>
      <c r="T46" s="59" t="s">
        <v>114</v>
      </c>
      <c r="U46" s="59" t="s">
        <v>896</v>
      </c>
      <c r="V46" s="61" t="s">
        <v>1046</v>
      </c>
      <c r="W46" s="61" t="s">
        <v>1188</v>
      </c>
      <c r="X46" s="61" t="s">
        <v>895</v>
      </c>
      <c r="Y46" s="61" t="s">
        <v>837</v>
      </c>
      <c r="Z46" s="54" t="s">
        <v>443</v>
      </c>
      <c r="AA46" s="54"/>
      <c r="AB46" s="113">
        <v>2020</v>
      </c>
      <c r="AC46" s="113" t="s">
        <v>178</v>
      </c>
      <c r="AD46" s="113" t="s">
        <v>178</v>
      </c>
      <c r="AE46" s="54"/>
    </row>
    <row r="47" spans="1:31" ht="26.4" x14ac:dyDescent="0.3">
      <c r="A47" s="54" t="s">
        <v>582</v>
      </c>
      <c r="B47" s="54">
        <v>5182</v>
      </c>
      <c r="C47" s="54" t="s">
        <v>643</v>
      </c>
      <c r="D47" s="54" t="s">
        <v>722</v>
      </c>
      <c r="E47" s="54" t="s">
        <v>644</v>
      </c>
      <c r="F47" s="54" t="s">
        <v>602</v>
      </c>
      <c r="G47" s="54" t="s">
        <v>603</v>
      </c>
      <c r="H47" s="93" t="s">
        <v>12</v>
      </c>
      <c r="I47" s="54" t="s">
        <v>118</v>
      </c>
      <c r="J47" s="61" t="s">
        <v>950</v>
      </c>
      <c r="K47" s="90" t="s">
        <v>178</v>
      </c>
      <c r="L47" s="92" t="s">
        <v>178</v>
      </c>
      <c r="M47" s="92" t="s">
        <v>178</v>
      </c>
      <c r="N47" s="54" t="s">
        <v>762</v>
      </c>
      <c r="O47" s="54" t="s">
        <v>178</v>
      </c>
      <c r="P47" s="111">
        <v>500</v>
      </c>
      <c r="Q47" s="84" t="s">
        <v>178</v>
      </c>
      <c r="R47" s="54" t="s">
        <v>643</v>
      </c>
      <c r="S47" s="61" t="s">
        <v>974</v>
      </c>
      <c r="T47" s="54" t="s">
        <v>178</v>
      </c>
      <c r="U47" s="113" t="s">
        <v>178</v>
      </c>
      <c r="V47" s="61" t="s">
        <v>1047</v>
      </c>
      <c r="W47" s="61" t="s">
        <v>1189</v>
      </c>
      <c r="X47" s="90" t="s">
        <v>178</v>
      </c>
      <c r="Y47" s="90"/>
      <c r="Z47" s="54" t="s">
        <v>446</v>
      </c>
      <c r="AA47" s="54"/>
      <c r="AB47" s="54">
        <v>2019</v>
      </c>
      <c r="AC47" s="92" t="s">
        <v>178</v>
      </c>
      <c r="AD47" s="54" t="s">
        <v>178</v>
      </c>
      <c r="AE47" s="54"/>
    </row>
    <row r="48" spans="1:31" ht="26.4" x14ac:dyDescent="0.3">
      <c r="A48" s="54" t="s">
        <v>582</v>
      </c>
      <c r="B48" s="54">
        <v>5183</v>
      </c>
      <c r="C48" s="54" t="s">
        <v>643</v>
      </c>
      <c r="D48" s="54" t="s">
        <v>96</v>
      </c>
      <c r="E48" s="54" t="s">
        <v>645</v>
      </c>
      <c r="F48" s="54" t="s">
        <v>605</v>
      </c>
      <c r="G48" s="54" t="s">
        <v>606</v>
      </c>
      <c r="H48" s="54" t="s">
        <v>444</v>
      </c>
      <c r="I48" s="54" t="s">
        <v>118</v>
      </c>
      <c r="J48" s="61" t="s">
        <v>950</v>
      </c>
      <c r="K48" s="90" t="s">
        <v>178</v>
      </c>
      <c r="L48" s="92" t="s">
        <v>178</v>
      </c>
      <c r="M48" s="92" t="s">
        <v>178</v>
      </c>
      <c r="N48" s="54" t="s">
        <v>762</v>
      </c>
      <c r="O48" s="54" t="s">
        <v>178</v>
      </c>
      <c r="P48" s="111">
        <v>1000</v>
      </c>
      <c r="Q48" s="84" t="s">
        <v>178</v>
      </c>
      <c r="R48" s="54" t="s">
        <v>643</v>
      </c>
      <c r="S48" s="61" t="s">
        <v>975</v>
      </c>
      <c r="T48" s="54" t="s">
        <v>178</v>
      </c>
      <c r="U48" s="113" t="s">
        <v>178</v>
      </c>
      <c r="V48" s="61" t="s">
        <v>1047</v>
      </c>
      <c r="W48" s="61" t="s">
        <v>1189</v>
      </c>
      <c r="X48" s="90" t="s">
        <v>178</v>
      </c>
      <c r="Y48" s="90"/>
      <c r="Z48" s="54" t="s">
        <v>446</v>
      </c>
      <c r="AA48" s="54"/>
      <c r="AB48" s="54">
        <v>2019</v>
      </c>
      <c r="AC48" s="92" t="s">
        <v>178</v>
      </c>
      <c r="AD48" s="54" t="s">
        <v>178</v>
      </c>
      <c r="AE48" s="54"/>
    </row>
    <row r="49" spans="1:31" ht="26.4" x14ac:dyDescent="0.3">
      <c r="A49" s="54" t="s">
        <v>582</v>
      </c>
      <c r="B49" s="54">
        <v>5184</v>
      </c>
      <c r="C49" s="54" t="s">
        <v>643</v>
      </c>
      <c r="D49" s="54" t="s">
        <v>178</v>
      </c>
      <c r="E49" s="54" t="s">
        <v>646</v>
      </c>
      <c r="F49" s="54" t="s">
        <v>608</v>
      </c>
      <c r="G49" s="146" t="s">
        <v>926</v>
      </c>
      <c r="H49" s="54" t="s">
        <v>107</v>
      </c>
      <c r="I49" s="54" t="s">
        <v>2</v>
      </c>
      <c r="J49" s="61" t="s">
        <v>950</v>
      </c>
      <c r="K49" s="90" t="s">
        <v>798</v>
      </c>
      <c r="L49" s="92" t="s">
        <v>178</v>
      </c>
      <c r="M49" s="92" t="s">
        <v>178</v>
      </c>
      <c r="N49" s="54" t="s">
        <v>762</v>
      </c>
      <c r="O49" s="54" t="s">
        <v>178</v>
      </c>
      <c r="P49" s="111">
        <v>0</v>
      </c>
      <c r="Q49" s="84" t="s">
        <v>178</v>
      </c>
      <c r="R49" s="54" t="s">
        <v>643</v>
      </c>
      <c r="S49" s="149" t="s">
        <v>178</v>
      </c>
      <c r="T49" s="54" t="s">
        <v>178</v>
      </c>
      <c r="U49" s="113" t="s">
        <v>178</v>
      </c>
      <c r="V49" s="61" t="s">
        <v>1048</v>
      </c>
      <c r="W49" s="61" t="s">
        <v>1190</v>
      </c>
      <c r="X49" s="90" t="s">
        <v>178</v>
      </c>
      <c r="Y49" s="90"/>
      <c r="Z49" s="54" t="s">
        <v>446</v>
      </c>
      <c r="AA49" s="54"/>
      <c r="AB49" s="54">
        <v>2019</v>
      </c>
      <c r="AC49" s="92" t="s">
        <v>178</v>
      </c>
      <c r="AD49" s="54" t="s">
        <v>178</v>
      </c>
      <c r="AE49" s="54"/>
    </row>
    <row r="50" spans="1:31" ht="39.6" x14ac:dyDescent="0.3">
      <c r="A50" s="54" t="s">
        <v>582</v>
      </c>
      <c r="B50" s="54">
        <v>5185</v>
      </c>
      <c r="C50" s="54" t="s">
        <v>643</v>
      </c>
      <c r="D50" s="54" t="s">
        <v>178</v>
      </c>
      <c r="E50" s="54" t="s">
        <v>647</v>
      </c>
      <c r="F50" s="54" t="s">
        <v>640</v>
      </c>
      <c r="G50" s="54" t="s">
        <v>641</v>
      </c>
      <c r="H50" s="54" t="s">
        <v>480</v>
      </c>
      <c r="I50" s="54" t="s">
        <v>118</v>
      </c>
      <c r="J50" s="61" t="s">
        <v>950</v>
      </c>
      <c r="K50" s="90" t="s">
        <v>178</v>
      </c>
      <c r="L50" s="92" t="s">
        <v>178</v>
      </c>
      <c r="M50" s="92" t="s">
        <v>178</v>
      </c>
      <c r="N50" s="54" t="s">
        <v>762</v>
      </c>
      <c r="O50" s="54" t="s">
        <v>178</v>
      </c>
      <c r="P50" s="111">
        <v>75000</v>
      </c>
      <c r="Q50" s="84" t="s">
        <v>178</v>
      </c>
      <c r="R50" s="54" t="s">
        <v>643</v>
      </c>
      <c r="S50" s="61" t="s">
        <v>979</v>
      </c>
      <c r="T50" s="54" t="s">
        <v>178</v>
      </c>
      <c r="U50" s="113" t="s">
        <v>178</v>
      </c>
      <c r="V50" s="61" t="s">
        <v>1048</v>
      </c>
      <c r="W50" s="61" t="s">
        <v>1190</v>
      </c>
      <c r="X50" s="90" t="s">
        <v>178</v>
      </c>
      <c r="Y50" s="90"/>
      <c r="Z50" s="54" t="s">
        <v>446</v>
      </c>
      <c r="AA50" s="54"/>
      <c r="AB50" s="54">
        <v>2019</v>
      </c>
      <c r="AC50" s="92" t="s">
        <v>178</v>
      </c>
      <c r="AD50" s="54" t="s">
        <v>178</v>
      </c>
      <c r="AE50" s="54"/>
    </row>
    <row r="51" spans="1:31" ht="26.4" x14ac:dyDescent="0.3">
      <c r="A51" s="54" t="s">
        <v>582</v>
      </c>
      <c r="B51" s="54">
        <v>5186</v>
      </c>
      <c r="C51" s="54" t="s">
        <v>643</v>
      </c>
      <c r="D51" s="54" t="s">
        <v>178</v>
      </c>
      <c r="E51" s="54" t="s">
        <v>648</v>
      </c>
      <c r="F51" s="54" t="s">
        <v>613</v>
      </c>
      <c r="G51" s="54" t="s">
        <v>614</v>
      </c>
      <c r="H51" s="54" t="s">
        <v>106</v>
      </c>
      <c r="I51" s="54" t="s">
        <v>1</v>
      </c>
      <c r="J51" s="61" t="s">
        <v>950</v>
      </c>
      <c r="K51" s="90" t="s">
        <v>178</v>
      </c>
      <c r="L51" s="92" t="s">
        <v>178</v>
      </c>
      <c r="M51" s="92" t="s">
        <v>178</v>
      </c>
      <c r="N51" s="54" t="s">
        <v>762</v>
      </c>
      <c r="O51" s="54" t="s">
        <v>178</v>
      </c>
      <c r="P51" s="111">
        <v>20000</v>
      </c>
      <c r="Q51" s="84" t="s">
        <v>178</v>
      </c>
      <c r="R51" s="54" t="s">
        <v>643</v>
      </c>
      <c r="S51" s="61" t="s">
        <v>980</v>
      </c>
      <c r="T51" s="54" t="s">
        <v>178</v>
      </c>
      <c r="U51" s="113" t="s">
        <v>178</v>
      </c>
      <c r="V51" s="61" t="s">
        <v>1049</v>
      </c>
      <c r="W51" s="61" t="s">
        <v>1191</v>
      </c>
      <c r="X51" s="90" t="s">
        <v>178</v>
      </c>
      <c r="Y51" s="90"/>
      <c r="Z51" s="54" t="s">
        <v>443</v>
      </c>
      <c r="AA51" s="54"/>
      <c r="AB51" s="54">
        <v>2019</v>
      </c>
      <c r="AC51" s="92" t="s">
        <v>178</v>
      </c>
      <c r="AD51" s="54" t="s">
        <v>178</v>
      </c>
      <c r="AE51" s="54"/>
    </row>
    <row r="52" spans="1:31" ht="26.4" x14ac:dyDescent="0.3">
      <c r="A52" s="54" t="s">
        <v>582</v>
      </c>
      <c r="B52" s="54">
        <v>5187</v>
      </c>
      <c r="C52" s="54" t="s">
        <v>649</v>
      </c>
      <c r="D52" s="54" t="s">
        <v>722</v>
      </c>
      <c r="E52" s="54" t="s">
        <v>650</v>
      </c>
      <c r="F52" s="54" t="s">
        <v>602</v>
      </c>
      <c r="G52" s="54" t="s">
        <v>603</v>
      </c>
      <c r="H52" s="54" t="s">
        <v>12</v>
      </c>
      <c r="I52" s="54" t="s">
        <v>118</v>
      </c>
      <c r="J52" s="61" t="s">
        <v>798</v>
      </c>
      <c r="K52" s="90" t="s">
        <v>178</v>
      </c>
      <c r="L52" s="92" t="s">
        <v>178</v>
      </c>
      <c r="M52" s="92" t="s">
        <v>178</v>
      </c>
      <c r="N52" s="54" t="s">
        <v>763</v>
      </c>
      <c r="O52" s="54" t="s">
        <v>178</v>
      </c>
      <c r="P52" s="111">
        <v>500</v>
      </c>
      <c r="Q52" s="84" t="s">
        <v>178</v>
      </c>
      <c r="R52" s="54" t="s">
        <v>649</v>
      </c>
      <c r="S52" s="61" t="s">
        <v>974</v>
      </c>
      <c r="T52" s="54" t="s">
        <v>178</v>
      </c>
      <c r="U52" s="113" t="s">
        <v>178</v>
      </c>
      <c r="V52" s="61" t="s">
        <v>1050</v>
      </c>
      <c r="W52" s="61" t="s">
        <v>1192</v>
      </c>
      <c r="X52" s="90" t="s">
        <v>178</v>
      </c>
      <c r="Y52" s="90"/>
      <c r="Z52" s="54" t="s">
        <v>446</v>
      </c>
      <c r="AA52" s="54"/>
      <c r="AB52" s="54">
        <v>2019</v>
      </c>
      <c r="AC52" s="92" t="s">
        <v>178</v>
      </c>
      <c r="AD52" s="54" t="s">
        <v>178</v>
      </c>
      <c r="AE52" s="54"/>
    </row>
    <row r="53" spans="1:31" ht="26.4" x14ac:dyDescent="0.3">
      <c r="A53" s="54" t="s">
        <v>582</v>
      </c>
      <c r="B53" s="54">
        <v>5188</v>
      </c>
      <c r="C53" s="54" t="s">
        <v>649</v>
      </c>
      <c r="D53" s="54" t="s">
        <v>96</v>
      </c>
      <c r="E53" s="54" t="s">
        <v>651</v>
      </c>
      <c r="F53" s="54" t="s">
        <v>605</v>
      </c>
      <c r="G53" s="54" t="s">
        <v>606</v>
      </c>
      <c r="H53" s="54" t="s">
        <v>444</v>
      </c>
      <c r="I53" s="54" t="s">
        <v>118</v>
      </c>
      <c r="J53" s="61" t="s">
        <v>798</v>
      </c>
      <c r="K53" s="90" t="s">
        <v>178</v>
      </c>
      <c r="L53" s="92" t="s">
        <v>178</v>
      </c>
      <c r="M53" s="92" t="s">
        <v>178</v>
      </c>
      <c r="N53" s="54" t="s">
        <v>763</v>
      </c>
      <c r="O53" s="54" t="s">
        <v>178</v>
      </c>
      <c r="P53" s="111">
        <v>1000</v>
      </c>
      <c r="Q53" s="84" t="s">
        <v>178</v>
      </c>
      <c r="R53" s="54" t="s">
        <v>649</v>
      </c>
      <c r="S53" s="61" t="s">
        <v>975</v>
      </c>
      <c r="T53" s="54" t="s">
        <v>178</v>
      </c>
      <c r="U53" s="113" t="s">
        <v>178</v>
      </c>
      <c r="V53" s="61" t="s">
        <v>1050</v>
      </c>
      <c r="W53" s="61" t="s">
        <v>1192</v>
      </c>
      <c r="X53" s="90" t="s">
        <v>178</v>
      </c>
      <c r="Y53" s="90"/>
      <c r="Z53" s="54" t="s">
        <v>446</v>
      </c>
      <c r="AA53" s="54"/>
      <c r="AB53" s="54">
        <v>2019</v>
      </c>
      <c r="AC53" s="92" t="s">
        <v>178</v>
      </c>
      <c r="AD53" s="54" t="s">
        <v>178</v>
      </c>
      <c r="AE53" s="54"/>
    </row>
    <row r="54" spans="1:31" ht="26.4" x14ac:dyDescent="0.3">
      <c r="A54" s="54" t="s">
        <v>582</v>
      </c>
      <c r="B54" s="54">
        <v>5189</v>
      </c>
      <c r="C54" s="54" t="s">
        <v>649</v>
      </c>
      <c r="D54" s="54" t="s">
        <v>178</v>
      </c>
      <c r="E54" s="54" t="s">
        <v>652</v>
      </c>
      <c r="F54" s="54" t="s">
        <v>608</v>
      </c>
      <c r="G54" s="146" t="s">
        <v>926</v>
      </c>
      <c r="H54" s="54" t="s">
        <v>107</v>
      </c>
      <c r="I54" s="54" t="s">
        <v>2</v>
      </c>
      <c r="J54" s="61" t="s">
        <v>798</v>
      </c>
      <c r="K54" s="90" t="s">
        <v>798</v>
      </c>
      <c r="L54" s="92" t="s">
        <v>178</v>
      </c>
      <c r="M54" s="92" t="s">
        <v>178</v>
      </c>
      <c r="N54" s="54" t="s">
        <v>763</v>
      </c>
      <c r="O54" s="54" t="s">
        <v>178</v>
      </c>
      <c r="P54" s="111">
        <v>0</v>
      </c>
      <c r="Q54" s="84" t="s">
        <v>178</v>
      </c>
      <c r="R54" s="54" t="s">
        <v>649</v>
      </c>
      <c r="S54" s="149" t="s">
        <v>178</v>
      </c>
      <c r="T54" s="54" t="s">
        <v>178</v>
      </c>
      <c r="U54" s="113" t="s">
        <v>178</v>
      </c>
      <c r="V54" s="61" t="s">
        <v>1051</v>
      </c>
      <c r="W54" s="61" t="s">
        <v>1193</v>
      </c>
      <c r="X54" s="90" t="s">
        <v>178</v>
      </c>
      <c r="Y54" s="90"/>
      <c r="Z54" s="54" t="s">
        <v>446</v>
      </c>
      <c r="AA54" s="54"/>
      <c r="AB54" s="54">
        <v>2019</v>
      </c>
      <c r="AC54" s="92" t="s">
        <v>178</v>
      </c>
      <c r="AD54" s="54" t="s">
        <v>178</v>
      </c>
      <c r="AE54" s="54"/>
    </row>
    <row r="55" spans="1:31" ht="26.4" x14ac:dyDescent="0.3">
      <c r="A55" s="54" t="s">
        <v>582</v>
      </c>
      <c r="B55" s="54">
        <v>5190</v>
      </c>
      <c r="C55" s="54" t="s">
        <v>649</v>
      </c>
      <c r="D55" s="54" t="s">
        <v>178</v>
      </c>
      <c r="E55" s="54" t="s">
        <v>653</v>
      </c>
      <c r="F55" s="54" t="s">
        <v>610</v>
      </c>
      <c r="G55" s="54" t="s">
        <v>611</v>
      </c>
      <c r="H55" s="54" t="s">
        <v>492</v>
      </c>
      <c r="I55" s="54" t="s">
        <v>118</v>
      </c>
      <c r="J55" s="61" t="s">
        <v>798</v>
      </c>
      <c r="K55" s="90" t="s">
        <v>178</v>
      </c>
      <c r="L55" s="92" t="s">
        <v>178</v>
      </c>
      <c r="M55" s="92" t="s">
        <v>178</v>
      </c>
      <c r="N55" s="54" t="s">
        <v>763</v>
      </c>
      <c r="O55" s="54" t="s">
        <v>178</v>
      </c>
      <c r="P55" s="111">
        <v>13000</v>
      </c>
      <c r="Q55" s="84" t="s">
        <v>178</v>
      </c>
      <c r="R55" s="54" t="s">
        <v>649</v>
      </c>
      <c r="S55" s="61" t="s">
        <v>981</v>
      </c>
      <c r="T55" s="54" t="s">
        <v>178</v>
      </c>
      <c r="U55" s="113" t="s">
        <v>178</v>
      </c>
      <c r="V55" s="90" t="s">
        <v>1052</v>
      </c>
      <c r="W55" s="90" t="s">
        <v>1194</v>
      </c>
      <c r="X55" s="90" t="s">
        <v>178</v>
      </c>
      <c r="Y55" s="90"/>
      <c r="Z55" s="54" t="s">
        <v>443</v>
      </c>
      <c r="AA55" s="54"/>
      <c r="AB55" s="54">
        <v>2019</v>
      </c>
      <c r="AC55" s="92" t="s">
        <v>178</v>
      </c>
      <c r="AD55" s="54" t="s">
        <v>178</v>
      </c>
      <c r="AE55" s="54"/>
    </row>
    <row r="56" spans="1:31" ht="26.4" x14ac:dyDescent="0.3">
      <c r="A56" s="54" t="s">
        <v>582</v>
      </c>
      <c r="B56" s="54">
        <v>5191</v>
      </c>
      <c r="C56" s="54" t="s">
        <v>649</v>
      </c>
      <c r="D56" s="54" t="s">
        <v>178</v>
      </c>
      <c r="E56" s="54" t="s">
        <v>654</v>
      </c>
      <c r="F56" s="54" t="s">
        <v>613</v>
      </c>
      <c r="G56" s="54" t="s">
        <v>614</v>
      </c>
      <c r="H56" s="54" t="s">
        <v>106</v>
      </c>
      <c r="I56" s="54" t="s">
        <v>1</v>
      </c>
      <c r="J56" s="61" t="s">
        <v>798</v>
      </c>
      <c r="K56" s="90" t="s">
        <v>178</v>
      </c>
      <c r="L56" s="92" t="s">
        <v>178</v>
      </c>
      <c r="M56" s="92" t="s">
        <v>178</v>
      </c>
      <c r="N56" s="54" t="s">
        <v>763</v>
      </c>
      <c r="O56" s="54" t="s">
        <v>178</v>
      </c>
      <c r="P56" s="111">
        <v>2500</v>
      </c>
      <c r="Q56" s="84" t="s">
        <v>178</v>
      </c>
      <c r="R56" s="54" t="s">
        <v>649</v>
      </c>
      <c r="S56" s="61" t="s">
        <v>982</v>
      </c>
      <c r="T56" s="54" t="s">
        <v>178</v>
      </c>
      <c r="U56" s="113" t="s">
        <v>178</v>
      </c>
      <c r="V56" s="61" t="s">
        <v>1053</v>
      </c>
      <c r="W56" s="61" t="s">
        <v>1195</v>
      </c>
      <c r="X56" s="90" t="s">
        <v>178</v>
      </c>
      <c r="Y56" s="90"/>
      <c r="Z56" s="54" t="s">
        <v>443</v>
      </c>
      <c r="AA56" s="54"/>
      <c r="AB56" s="54">
        <v>2019</v>
      </c>
      <c r="AC56" s="92" t="s">
        <v>178</v>
      </c>
      <c r="AD56" s="54" t="s">
        <v>178</v>
      </c>
      <c r="AE56" s="54"/>
    </row>
    <row r="57" spans="1:31" ht="26.4" x14ac:dyDescent="0.3">
      <c r="A57" s="54" t="s">
        <v>582</v>
      </c>
      <c r="B57" s="54">
        <v>4841</v>
      </c>
      <c r="C57" s="54" t="s">
        <v>546</v>
      </c>
      <c r="D57" s="146" t="s">
        <v>178</v>
      </c>
      <c r="E57" s="54" t="s">
        <v>547</v>
      </c>
      <c r="F57" s="54" t="s">
        <v>548</v>
      </c>
      <c r="G57" s="146" t="s">
        <v>927</v>
      </c>
      <c r="H57" s="54" t="s">
        <v>12</v>
      </c>
      <c r="I57" s="54" t="s">
        <v>1</v>
      </c>
      <c r="J57" s="61" t="s">
        <v>178</v>
      </c>
      <c r="K57" s="61" t="s">
        <v>178</v>
      </c>
      <c r="L57" s="92">
        <v>194.46640778886223</v>
      </c>
      <c r="M57" s="92">
        <v>29.469053180951033</v>
      </c>
      <c r="N57" s="54" t="s">
        <v>762</v>
      </c>
      <c r="O57" s="59" t="s">
        <v>178</v>
      </c>
      <c r="P57" s="111">
        <v>10000</v>
      </c>
      <c r="Q57" s="111" t="s">
        <v>178</v>
      </c>
      <c r="R57" s="54" t="s">
        <v>549</v>
      </c>
      <c r="S57" s="61" t="s">
        <v>983</v>
      </c>
      <c r="T57" s="59" t="s">
        <v>178</v>
      </c>
      <c r="U57" s="59" t="s">
        <v>178</v>
      </c>
      <c r="V57" s="61" t="s">
        <v>1054</v>
      </c>
      <c r="W57" s="61" t="s">
        <v>1196</v>
      </c>
      <c r="X57" s="90" t="s">
        <v>178</v>
      </c>
      <c r="Y57" s="61" t="s">
        <v>837</v>
      </c>
      <c r="Z57" s="54" t="s">
        <v>446</v>
      </c>
      <c r="AA57" s="54" t="s">
        <v>322</v>
      </c>
      <c r="AB57" s="54">
        <v>2019</v>
      </c>
      <c r="AC57" s="92" t="s">
        <v>178</v>
      </c>
      <c r="AD57" s="54" t="s">
        <v>178</v>
      </c>
      <c r="AE57" s="54"/>
    </row>
    <row r="58" spans="1:31" x14ac:dyDescent="0.3">
      <c r="A58" s="54" t="s">
        <v>582</v>
      </c>
      <c r="B58" s="54">
        <v>4842</v>
      </c>
      <c r="C58" s="54" t="s">
        <v>546</v>
      </c>
      <c r="D58" s="146" t="s">
        <v>178</v>
      </c>
      <c r="E58" s="54" t="s">
        <v>550</v>
      </c>
      <c r="F58" s="54" t="s">
        <v>551</v>
      </c>
      <c r="G58" s="146" t="s">
        <v>928</v>
      </c>
      <c r="H58" s="54" t="s">
        <v>3</v>
      </c>
      <c r="I58" s="54" t="s">
        <v>1</v>
      </c>
      <c r="J58" s="61" t="s">
        <v>178</v>
      </c>
      <c r="K58" s="61" t="s">
        <v>178</v>
      </c>
      <c r="L58" s="92">
        <v>74.096807986236243</v>
      </c>
      <c r="M58" s="92">
        <v>45.305250127760701</v>
      </c>
      <c r="N58" s="54" t="s">
        <v>762</v>
      </c>
      <c r="O58" s="59" t="s">
        <v>178</v>
      </c>
      <c r="P58" s="111" t="s">
        <v>178</v>
      </c>
      <c r="Q58" s="111" t="s">
        <v>178</v>
      </c>
      <c r="R58" s="54" t="s">
        <v>549</v>
      </c>
      <c r="S58" s="61" t="s">
        <v>178</v>
      </c>
      <c r="T58" s="59" t="s">
        <v>178</v>
      </c>
      <c r="U58" s="59" t="s">
        <v>178</v>
      </c>
      <c r="V58" s="61" t="s">
        <v>1054</v>
      </c>
      <c r="W58" s="61" t="s">
        <v>1196</v>
      </c>
      <c r="X58" s="90" t="s">
        <v>178</v>
      </c>
      <c r="Y58" s="61" t="s">
        <v>837</v>
      </c>
      <c r="Z58" s="54" t="s">
        <v>446</v>
      </c>
      <c r="AA58" s="54" t="s">
        <v>322</v>
      </c>
      <c r="AB58" s="54">
        <v>2019</v>
      </c>
      <c r="AC58" s="92" t="s">
        <v>178</v>
      </c>
      <c r="AD58" s="54" t="s">
        <v>178</v>
      </c>
      <c r="AE58" s="54"/>
    </row>
    <row r="59" spans="1:31" ht="39.6" x14ac:dyDescent="0.3">
      <c r="A59" s="54" t="s">
        <v>582</v>
      </c>
      <c r="B59" s="54">
        <v>4843</v>
      </c>
      <c r="C59" s="54" t="s">
        <v>546</v>
      </c>
      <c r="D59" s="146" t="s">
        <v>178</v>
      </c>
      <c r="E59" s="54" t="s">
        <v>552</v>
      </c>
      <c r="F59" s="54" t="s">
        <v>553</v>
      </c>
      <c r="G59" s="146" t="s">
        <v>929</v>
      </c>
      <c r="H59" s="54" t="s">
        <v>452</v>
      </c>
      <c r="I59" s="54" t="s">
        <v>1</v>
      </c>
      <c r="J59" s="61" t="s">
        <v>178</v>
      </c>
      <c r="K59" s="61" t="s">
        <v>178</v>
      </c>
      <c r="L59" s="92">
        <v>10.460725833350999</v>
      </c>
      <c r="M59" s="92">
        <v>6.7118889078163999</v>
      </c>
      <c r="N59" s="54" t="s">
        <v>762</v>
      </c>
      <c r="O59" s="59" t="s">
        <v>178</v>
      </c>
      <c r="P59" s="111" t="s">
        <v>178</v>
      </c>
      <c r="Q59" s="111" t="s">
        <v>178</v>
      </c>
      <c r="R59" s="54" t="s">
        <v>549</v>
      </c>
      <c r="S59" s="61" t="s">
        <v>178</v>
      </c>
      <c r="T59" s="59" t="s">
        <v>178</v>
      </c>
      <c r="U59" s="59" t="s">
        <v>178</v>
      </c>
      <c r="V59" s="61" t="s">
        <v>1054</v>
      </c>
      <c r="W59" s="61" t="s">
        <v>1196</v>
      </c>
      <c r="X59" s="90" t="s">
        <v>178</v>
      </c>
      <c r="Y59" s="61" t="s">
        <v>837</v>
      </c>
      <c r="Z59" s="54" t="s">
        <v>446</v>
      </c>
      <c r="AA59" s="54" t="s">
        <v>322</v>
      </c>
      <c r="AB59" s="54">
        <v>2019</v>
      </c>
      <c r="AC59" s="92" t="s">
        <v>178</v>
      </c>
      <c r="AD59" s="54" t="s">
        <v>178</v>
      </c>
      <c r="AE59" s="54"/>
    </row>
    <row r="60" spans="1:31" ht="25.5" customHeight="1" x14ac:dyDescent="0.3">
      <c r="A60" s="59" t="s">
        <v>582</v>
      </c>
      <c r="B60" s="59">
        <v>5737</v>
      </c>
      <c r="C60" s="59" t="s">
        <v>840</v>
      </c>
      <c r="D60" s="146" t="s">
        <v>924</v>
      </c>
      <c r="E60" s="113" t="s">
        <v>904</v>
      </c>
      <c r="F60" s="59" t="s">
        <v>915</v>
      </c>
      <c r="G60" s="59" t="s">
        <v>843</v>
      </c>
      <c r="H60" s="110" t="s">
        <v>488</v>
      </c>
      <c r="I60" s="59" t="s">
        <v>118</v>
      </c>
      <c r="J60" s="61" t="s">
        <v>950</v>
      </c>
      <c r="K60" s="61" t="s">
        <v>952</v>
      </c>
      <c r="L60" s="118" t="s">
        <v>114</v>
      </c>
      <c r="M60" s="118" t="s">
        <v>114</v>
      </c>
      <c r="N60" s="59" t="s">
        <v>844</v>
      </c>
      <c r="O60" s="118" t="s">
        <v>114</v>
      </c>
      <c r="P60" s="111" t="s">
        <v>114</v>
      </c>
      <c r="Q60" s="111" t="s">
        <v>114</v>
      </c>
      <c r="R60" s="146" t="s">
        <v>967</v>
      </c>
      <c r="S60" s="61" t="s">
        <v>984</v>
      </c>
      <c r="T60" s="59" t="s">
        <v>178</v>
      </c>
      <c r="U60" s="59" t="s">
        <v>178</v>
      </c>
      <c r="V60" s="145" t="s">
        <v>845</v>
      </c>
      <c r="W60" s="145" t="s">
        <v>846</v>
      </c>
      <c r="X60" s="61" t="s">
        <v>847</v>
      </c>
      <c r="Y60" s="61" t="s">
        <v>848</v>
      </c>
      <c r="Z60" s="54" t="s">
        <v>443</v>
      </c>
      <c r="AA60" s="54"/>
      <c r="AB60" s="113">
        <v>2020</v>
      </c>
      <c r="AC60" s="113" t="s">
        <v>178</v>
      </c>
      <c r="AD60" s="113" t="s">
        <v>178</v>
      </c>
      <c r="AE60" s="54"/>
    </row>
    <row r="61" spans="1:31" ht="25.5" customHeight="1" x14ac:dyDescent="0.3">
      <c r="A61" s="59" t="s">
        <v>582</v>
      </c>
      <c r="B61" s="59">
        <v>5738</v>
      </c>
      <c r="C61" s="59" t="s">
        <v>840</v>
      </c>
      <c r="D61" s="59" t="s">
        <v>178</v>
      </c>
      <c r="E61" s="113" t="s">
        <v>905</v>
      </c>
      <c r="F61" s="59" t="s">
        <v>841</v>
      </c>
      <c r="G61" s="59" t="s">
        <v>849</v>
      </c>
      <c r="H61" s="110" t="s">
        <v>488</v>
      </c>
      <c r="I61" s="59" t="s">
        <v>118</v>
      </c>
      <c r="J61" s="61" t="s">
        <v>953</v>
      </c>
      <c r="K61" s="61" t="s">
        <v>755</v>
      </c>
      <c r="L61" s="118" t="s">
        <v>114</v>
      </c>
      <c r="M61" s="118" t="s">
        <v>114</v>
      </c>
      <c r="N61" s="59" t="s">
        <v>844</v>
      </c>
      <c r="O61" s="118" t="s">
        <v>114</v>
      </c>
      <c r="P61" s="111">
        <v>200000</v>
      </c>
      <c r="Q61" s="111" t="s">
        <v>114</v>
      </c>
      <c r="R61" s="59" t="s">
        <v>850</v>
      </c>
      <c r="S61" s="61" t="s">
        <v>985</v>
      </c>
      <c r="T61" s="59" t="s">
        <v>178</v>
      </c>
      <c r="U61" s="59" t="s">
        <v>178</v>
      </c>
      <c r="V61" s="145" t="s">
        <v>851</v>
      </c>
      <c r="W61" s="145" t="s">
        <v>852</v>
      </c>
      <c r="X61" s="61" t="s">
        <v>178</v>
      </c>
      <c r="Y61" s="61" t="s">
        <v>848</v>
      </c>
      <c r="Z61" s="54" t="s">
        <v>443</v>
      </c>
      <c r="AA61" s="54"/>
      <c r="AB61" s="113">
        <v>2020</v>
      </c>
      <c r="AC61" s="113" t="s">
        <v>178</v>
      </c>
      <c r="AD61" s="113" t="s">
        <v>178</v>
      </c>
      <c r="AE61" s="54"/>
    </row>
    <row r="62" spans="1:31" ht="38.25" customHeight="1" x14ac:dyDescent="0.3">
      <c r="A62" s="59" t="s">
        <v>582</v>
      </c>
      <c r="B62" s="59">
        <v>5739</v>
      </c>
      <c r="C62" s="59" t="s">
        <v>840</v>
      </c>
      <c r="D62" s="146" t="s">
        <v>925</v>
      </c>
      <c r="E62" s="113" t="s">
        <v>906</v>
      </c>
      <c r="F62" s="59" t="s">
        <v>842</v>
      </c>
      <c r="G62" s="59" t="s">
        <v>916</v>
      </c>
      <c r="H62" s="59" t="s">
        <v>498</v>
      </c>
      <c r="I62" s="59" t="s">
        <v>322</v>
      </c>
      <c r="J62" s="61" t="s">
        <v>955</v>
      </c>
      <c r="K62" s="61" t="s">
        <v>952</v>
      </c>
      <c r="L62" s="118" t="s">
        <v>178</v>
      </c>
      <c r="M62" s="118" t="s">
        <v>178</v>
      </c>
      <c r="N62" s="59" t="s">
        <v>853</v>
      </c>
      <c r="O62" s="62" t="s">
        <v>178</v>
      </c>
      <c r="P62" s="111">
        <v>1284529.57</v>
      </c>
      <c r="Q62" s="111" t="s">
        <v>178</v>
      </c>
      <c r="R62" s="146" t="s">
        <v>186</v>
      </c>
      <c r="S62" s="61" t="s">
        <v>986</v>
      </c>
      <c r="T62" s="59" t="s">
        <v>854</v>
      </c>
      <c r="U62" s="59" t="s">
        <v>178</v>
      </c>
      <c r="V62" s="145" t="s">
        <v>855</v>
      </c>
      <c r="W62" s="145" t="s">
        <v>856</v>
      </c>
      <c r="X62" s="61" t="s">
        <v>847</v>
      </c>
      <c r="Y62" s="61" t="s">
        <v>848</v>
      </c>
      <c r="Z62" s="54" t="s">
        <v>443</v>
      </c>
      <c r="AA62" s="54"/>
      <c r="AB62" s="113">
        <v>2020</v>
      </c>
      <c r="AC62" s="113" t="s">
        <v>178</v>
      </c>
      <c r="AD62" s="113" t="s">
        <v>178</v>
      </c>
      <c r="AE62" s="54"/>
    </row>
    <row r="63" spans="1:31" ht="26.4" x14ac:dyDescent="0.3">
      <c r="A63" s="54" t="s">
        <v>582</v>
      </c>
      <c r="B63" s="54">
        <v>5192</v>
      </c>
      <c r="C63" s="54" t="s">
        <v>655</v>
      </c>
      <c r="D63" s="54" t="s">
        <v>722</v>
      </c>
      <c r="E63" s="54" t="s">
        <v>656</v>
      </c>
      <c r="F63" s="54" t="s">
        <v>602</v>
      </c>
      <c r="G63" s="54" t="s">
        <v>603</v>
      </c>
      <c r="H63" s="54" t="s">
        <v>12</v>
      </c>
      <c r="I63" s="54" t="s">
        <v>118</v>
      </c>
      <c r="J63" s="61" t="s">
        <v>798</v>
      </c>
      <c r="K63" s="90" t="s">
        <v>178</v>
      </c>
      <c r="L63" s="92" t="s">
        <v>178</v>
      </c>
      <c r="M63" s="92" t="s">
        <v>178</v>
      </c>
      <c r="N63" s="54" t="s">
        <v>763</v>
      </c>
      <c r="O63" s="54" t="s">
        <v>178</v>
      </c>
      <c r="P63" s="111">
        <v>500</v>
      </c>
      <c r="Q63" s="84" t="s">
        <v>178</v>
      </c>
      <c r="R63" s="54" t="s">
        <v>655</v>
      </c>
      <c r="S63" s="61" t="s">
        <v>974</v>
      </c>
      <c r="T63" s="54" t="s">
        <v>178</v>
      </c>
      <c r="U63" s="113" t="s">
        <v>178</v>
      </c>
      <c r="V63" s="61" t="s">
        <v>1055</v>
      </c>
      <c r="W63" s="61" t="s">
        <v>1197</v>
      </c>
      <c r="X63" s="90" t="s">
        <v>178</v>
      </c>
      <c r="Y63" s="90"/>
      <c r="Z63" s="54" t="s">
        <v>446</v>
      </c>
      <c r="AA63" s="54"/>
      <c r="AB63" s="54">
        <v>2019</v>
      </c>
      <c r="AC63" s="92" t="s">
        <v>178</v>
      </c>
      <c r="AD63" s="54" t="s">
        <v>178</v>
      </c>
      <c r="AE63" s="54"/>
    </row>
    <row r="64" spans="1:31" ht="26.4" x14ac:dyDescent="0.3">
      <c r="A64" s="54" t="s">
        <v>582</v>
      </c>
      <c r="B64" s="54">
        <v>5193</v>
      </c>
      <c r="C64" s="54" t="s">
        <v>655</v>
      </c>
      <c r="D64" s="54" t="s">
        <v>96</v>
      </c>
      <c r="E64" s="54" t="s">
        <v>657</v>
      </c>
      <c r="F64" s="54" t="s">
        <v>605</v>
      </c>
      <c r="G64" s="54" t="s">
        <v>606</v>
      </c>
      <c r="H64" s="54" t="s">
        <v>444</v>
      </c>
      <c r="I64" s="54" t="s">
        <v>118</v>
      </c>
      <c r="J64" s="61" t="s">
        <v>798</v>
      </c>
      <c r="K64" s="90" t="s">
        <v>178</v>
      </c>
      <c r="L64" s="92" t="s">
        <v>178</v>
      </c>
      <c r="M64" s="92" t="s">
        <v>178</v>
      </c>
      <c r="N64" s="54" t="s">
        <v>763</v>
      </c>
      <c r="O64" s="54" t="s">
        <v>178</v>
      </c>
      <c r="P64" s="111">
        <v>1000</v>
      </c>
      <c r="Q64" s="84" t="s">
        <v>178</v>
      </c>
      <c r="R64" s="54" t="s">
        <v>655</v>
      </c>
      <c r="S64" s="61" t="s">
        <v>975</v>
      </c>
      <c r="T64" s="54" t="s">
        <v>178</v>
      </c>
      <c r="U64" s="113" t="s">
        <v>178</v>
      </c>
      <c r="V64" s="61" t="s">
        <v>1055</v>
      </c>
      <c r="W64" s="61" t="s">
        <v>1197</v>
      </c>
      <c r="X64" s="90" t="s">
        <v>178</v>
      </c>
      <c r="Y64" s="90"/>
      <c r="Z64" s="54" t="s">
        <v>446</v>
      </c>
      <c r="AA64" s="54"/>
      <c r="AB64" s="54">
        <v>2019</v>
      </c>
      <c r="AC64" s="92" t="s">
        <v>178</v>
      </c>
      <c r="AD64" s="54" t="s">
        <v>178</v>
      </c>
      <c r="AE64" s="54"/>
    </row>
    <row r="65" spans="1:31" ht="26.4" x14ac:dyDescent="0.3">
      <c r="A65" s="54" t="s">
        <v>582</v>
      </c>
      <c r="B65" s="54">
        <v>5194</v>
      </c>
      <c r="C65" s="54" t="s">
        <v>655</v>
      </c>
      <c r="D65" s="54" t="s">
        <v>178</v>
      </c>
      <c r="E65" s="54" t="s">
        <v>658</v>
      </c>
      <c r="F65" s="54" t="s">
        <v>608</v>
      </c>
      <c r="G65" s="146" t="s">
        <v>926</v>
      </c>
      <c r="H65" s="54" t="s">
        <v>107</v>
      </c>
      <c r="I65" s="54" t="s">
        <v>2</v>
      </c>
      <c r="J65" s="61" t="s">
        <v>798</v>
      </c>
      <c r="K65" s="90" t="s">
        <v>798</v>
      </c>
      <c r="L65" s="92" t="s">
        <v>178</v>
      </c>
      <c r="M65" s="92" t="s">
        <v>178</v>
      </c>
      <c r="N65" s="54" t="s">
        <v>763</v>
      </c>
      <c r="O65" s="54" t="s">
        <v>178</v>
      </c>
      <c r="P65" s="111">
        <v>0</v>
      </c>
      <c r="Q65" s="84" t="s">
        <v>178</v>
      </c>
      <c r="R65" s="54" t="s">
        <v>655</v>
      </c>
      <c r="S65" s="149" t="s">
        <v>178</v>
      </c>
      <c r="T65" s="54" t="s">
        <v>178</v>
      </c>
      <c r="U65" s="113" t="s">
        <v>178</v>
      </c>
      <c r="V65" s="61" t="s">
        <v>1056</v>
      </c>
      <c r="W65" s="61" t="s">
        <v>1198</v>
      </c>
      <c r="X65" s="90" t="s">
        <v>178</v>
      </c>
      <c r="Y65" s="90"/>
      <c r="Z65" s="54" t="s">
        <v>446</v>
      </c>
      <c r="AA65" s="54"/>
      <c r="AB65" s="54">
        <v>2019</v>
      </c>
      <c r="AC65" s="92" t="s">
        <v>178</v>
      </c>
      <c r="AD65" s="54" t="s">
        <v>178</v>
      </c>
      <c r="AE65" s="54"/>
    </row>
    <row r="66" spans="1:31" ht="39.6" x14ac:dyDescent="0.3">
      <c r="A66" s="54" t="s">
        <v>582</v>
      </c>
      <c r="B66" s="54">
        <v>5195</v>
      </c>
      <c r="C66" s="54" t="s">
        <v>655</v>
      </c>
      <c r="D66" s="54" t="s">
        <v>178</v>
      </c>
      <c r="E66" s="54" t="s">
        <v>659</v>
      </c>
      <c r="F66" s="54" t="s">
        <v>640</v>
      </c>
      <c r="G66" s="54" t="s">
        <v>641</v>
      </c>
      <c r="H66" s="54" t="s">
        <v>480</v>
      </c>
      <c r="I66" s="54" t="s">
        <v>118</v>
      </c>
      <c r="J66" s="61" t="s">
        <v>798</v>
      </c>
      <c r="K66" s="90" t="s">
        <v>178</v>
      </c>
      <c r="L66" s="92" t="s">
        <v>178</v>
      </c>
      <c r="M66" s="92" t="s">
        <v>178</v>
      </c>
      <c r="N66" s="54" t="s">
        <v>763</v>
      </c>
      <c r="O66" s="54" t="s">
        <v>178</v>
      </c>
      <c r="P66" s="111">
        <v>75000</v>
      </c>
      <c r="Q66" s="84" t="s">
        <v>178</v>
      </c>
      <c r="R66" s="54" t="s">
        <v>655</v>
      </c>
      <c r="S66" s="61" t="s">
        <v>979</v>
      </c>
      <c r="T66" s="54" t="s">
        <v>178</v>
      </c>
      <c r="U66" s="113" t="s">
        <v>178</v>
      </c>
      <c r="V66" s="61" t="s">
        <v>1056</v>
      </c>
      <c r="W66" s="61" t="s">
        <v>1198</v>
      </c>
      <c r="X66" s="90" t="s">
        <v>178</v>
      </c>
      <c r="Y66" s="90"/>
      <c r="Z66" s="54" t="s">
        <v>446</v>
      </c>
      <c r="AA66" s="54"/>
      <c r="AB66" s="54">
        <v>2019</v>
      </c>
      <c r="AC66" s="92" t="s">
        <v>178</v>
      </c>
      <c r="AD66" s="54" t="s">
        <v>178</v>
      </c>
      <c r="AE66" s="54"/>
    </row>
    <row r="67" spans="1:31" ht="26.4" x14ac:dyDescent="0.3">
      <c r="A67" s="54" t="s">
        <v>582</v>
      </c>
      <c r="B67" s="54">
        <v>5196</v>
      </c>
      <c r="C67" s="54" t="s">
        <v>655</v>
      </c>
      <c r="D67" s="54" t="s">
        <v>178</v>
      </c>
      <c r="E67" s="54" t="s">
        <v>660</v>
      </c>
      <c r="F67" s="54" t="s">
        <v>613</v>
      </c>
      <c r="G67" s="54" t="s">
        <v>614</v>
      </c>
      <c r="H67" s="54" t="s">
        <v>106</v>
      </c>
      <c r="I67" s="54" t="s">
        <v>1</v>
      </c>
      <c r="J67" s="61" t="s">
        <v>950</v>
      </c>
      <c r="K67" s="90" t="s">
        <v>178</v>
      </c>
      <c r="L67" s="92" t="s">
        <v>178</v>
      </c>
      <c r="M67" s="92" t="s">
        <v>178</v>
      </c>
      <c r="N67" s="54" t="s">
        <v>763</v>
      </c>
      <c r="O67" s="54" t="s">
        <v>178</v>
      </c>
      <c r="P67" s="111">
        <v>20000</v>
      </c>
      <c r="Q67" s="84" t="s">
        <v>178</v>
      </c>
      <c r="R67" s="54" t="s">
        <v>655</v>
      </c>
      <c r="S67" s="61" t="s">
        <v>980</v>
      </c>
      <c r="T67" s="54" t="s">
        <v>178</v>
      </c>
      <c r="U67" s="113" t="s">
        <v>178</v>
      </c>
      <c r="V67" s="61" t="s">
        <v>1057</v>
      </c>
      <c r="W67" s="61" t="s">
        <v>1199</v>
      </c>
      <c r="X67" s="90" t="s">
        <v>178</v>
      </c>
      <c r="Y67" s="90"/>
      <c r="Z67" s="54" t="s">
        <v>443</v>
      </c>
      <c r="AA67" s="54"/>
      <c r="AB67" s="54">
        <v>2019</v>
      </c>
      <c r="AC67" s="92" t="s">
        <v>178</v>
      </c>
      <c r="AD67" s="54" t="s">
        <v>178</v>
      </c>
      <c r="AE67" s="54"/>
    </row>
    <row r="68" spans="1:31" ht="39.6" x14ac:dyDescent="0.3">
      <c r="A68" s="54" t="s">
        <v>582</v>
      </c>
      <c r="B68" s="54">
        <v>5197</v>
      </c>
      <c r="C68" s="54" t="s">
        <v>661</v>
      </c>
      <c r="D68" s="54" t="s">
        <v>722</v>
      </c>
      <c r="E68" s="54" t="s">
        <v>662</v>
      </c>
      <c r="F68" s="54" t="s">
        <v>602</v>
      </c>
      <c r="G68" s="54" t="s">
        <v>603</v>
      </c>
      <c r="H68" s="54" t="s">
        <v>12</v>
      </c>
      <c r="I68" s="54" t="s">
        <v>118</v>
      </c>
      <c r="J68" s="61" t="s">
        <v>950</v>
      </c>
      <c r="K68" s="90" t="s">
        <v>178</v>
      </c>
      <c r="L68" s="92" t="s">
        <v>178</v>
      </c>
      <c r="M68" s="92" t="s">
        <v>178</v>
      </c>
      <c r="N68" s="54" t="s">
        <v>762</v>
      </c>
      <c r="O68" s="54" t="s">
        <v>178</v>
      </c>
      <c r="P68" s="111">
        <v>500</v>
      </c>
      <c r="Q68" s="84" t="s">
        <v>178</v>
      </c>
      <c r="R68" s="54" t="s">
        <v>661</v>
      </c>
      <c r="S68" s="61" t="s">
        <v>974</v>
      </c>
      <c r="T68" s="54" t="s">
        <v>178</v>
      </c>
      <c r="U68" s="113" t="s">
        <v>178</v>
      </c>
      <c r="V68" s="181" t="s">
        <v>1058</v>
      </c>
      <c r="W68" s="181" t="s">
        <v>1200</v>
      </c>
      <c r="X68" s="90" t="s">
        <v>178</v>
      </c>
      <c r="Y68" s="90"/>
      <c r="Z68" s="54" t="s">
        <v>446</v>
      </c>
      <c r="AA68" s="54"/>
      <c r="AB68" s="54">
        <v>2019</v>
      </c>
      <c r="AC68" s="92" t="s">
        <v>178</v>
      </c>
      <c r="AD68" s="54" t="s">
        <v>178</v>
      </c>
      <c r="AE68" s="54"/>
    </row>
    <row r="69" spans="1:31" ht="39.6" x14ac:dyDescent="0.3">
      <c r="A69" s="54" t="s">
        <v>582</v>
      </c>
      <c r="B69" s="54">
        <v>5198</v>
      </c>
      <c r="C69" s="54" t="s">
        <v>661</v>
      </c>
      <c r="D69" s="54" t="s">
        <v>96</v>
      </c>
      <c r="E69" s="54" t="s">
        <v>663</v>
      </c>
      <c r="F69" s="54" t="s">
        <v>605</v>
      </c>
      <c r="G69" s="54" t="s">
        <v>606</v>
      </c>
      <c r="H69" s="54" t="s">
        <v>444</v>
      </c>
      <c r="I69" s="54" t="s">
        <v>118</v>
      </c>
      <c r="J69" s="61" t="s">
        <v>798</v>
      </c>
      <c r="K69" s="90" t="s">
        <v>178</v>
      </c>
      <c r="L69" s="92" t="s">
        <v>178</v>
      </c>
      <c r="M69" s="92" t="s">
        <v>178</v>
      </c>
      <c r="N69" s="54" t="s">
        <v>762</v>
      </c>
      <c r="O69" s="54" t="s">
        <v>178</v>
      </c>
      <c r="P69" s="111">
        <v>1000</v>
      </c>
      <c r="Q69" s="84" t="s">
        <v>178</v>
      </c>
      <c r="R69" s="54" t="s">
        <v>661</v>
      </c>
      <c r="S69" s="61" t="s">
        <v>975</v>
      </c>
      <c r="T69" s="54" t="s">
        <v>178</v>
      </c>
      <c r="U69" s="113" t="s">
        <v>178</v>
      </c>
      <c r="V69" s="181" t="s">
        <v>1058</v>
      </c>
      <c r="W69" s="181" t="s">
        <v>1200</v>
      </c>
      <c r="X69" s="90" t="s">
        <v>178</v>
      </c>
      <c r="Y69" s="90"/>
      <c r="Z69" s="54" t="s">
        <v>446</v>
      </c>
      <c r="AA69" s="54"/>
      <c r="AB69" s="54">
        <v>2019</v>
      </c>
      <c r="AC69" s="92" t="s">
        <v>178</v>
      </c>
      <c r="AD69" s="54" t="s">
        <v>178</v>
      </c>
      <c r="AE69" s="54"/>
    </row>
    <row r="70" spans="1:31" ht="39.6" x14ac:dyDescent="0.3">
      <c r="A70" s="54" t="s">
        <v>582</v>
      </c>
      <c r="B70" s="54">
        <v>5199</v>
      </c>
      <c r="C70" s="54" t="s">
        <v>661</v>
      </c>
      <c r="D70" s="54" t="s">
        <v>178</v>
      </c>
      <c r="E70" s="54" t="s">
        <v>664</v>
      </c>
      <c r="F70" s="54" t="s">
        <v>608</v>
      </c>
      <c r="G70" s="146" t="s">
        <v>926</v>
      </c>
      <c r="H70" s="54" t="s">
        <v>107</v>
      </c>
      <c r="I70" s="54" t="s">
        <v>2</v>
      </c>
      <c r="J70" s="61" t="s">
        <v>798</v>
      </c>
      <c r="K70" s="102" t="s">
        <v>798</v>
      </c>
      <c r="L70" s="92" t="s">
        <v>178</v>
      </c>
      <c r="M70" s="92" t="s">
        <v>178</v>
      </c>
      <c r="N70" s="54" t="s">
        <v>762</v>
      </c>
      <c r="O70" s="54" t="s">
        <v>178</v>
      </c>
      <c r="P70" s="111">
        <v>0</v>
      </c>
      <c r="Q70" s="84" t="s">
        <v>178</v>
      </c>
      <c r="R70" s="54" t="s">
        <v>661</v>
      </c>
      <c r="S70" s="149" t="s">
        <v>178</v>
      </c>
      <c r="T70" s="54" t="s">
        <v>178</v>
      </c>
      <c r="U70" s="113" t="s">
        <v>178</v>
      </c>
      <c r="V70" s="61" t="s">
        <v>1059</v>
      </c>
      <c r="W70" s="61" t="s">
        <v>1201</v>
      </c>
      <c r="X70" s="90" t="s">
        <v>178</v>
      </c>
      <c r="Y70" s="90"/>
      <c r="Z70" s="54" t="s">
        <v>446</v>
      </c>
      <c r="AA70" s="54"/>
      <c r="AB70" s="54">
        <v>2019</v>
      </c>
      <c r="AC70" s="92" t="s">
        <v>178</v>
      </c>
      <c r="AD70" s="54" t="s">
        <v>178</v>
      </c>
      <c r="AE70" s="54"/>
    </row>
    <row r="71" spans="1:31" ht="39.6" x14ac:dyDescent="0.3">
      <c r="A71" s="54" t="s">
        <v>582</v>
      </c>
      <c r="B71" s="54">
        <v>5200</v>
      </c>
      <c r="C71" s="54" t="s">
        <v>661</v>
      </c>
      <c r="D71" s="54" t="s">
        <v>178</v>
      </c>
      <c r="E71" s="54" t="s">
        <v>665</v>
      </c>
      <c r="F71" s="54" t="s">
        <v>666</v>
      </c>
      <c r="G71" s="54" t="s">
        <v>667</v>
      </c>
      <c r="H71" s="54" t="s">
        <v>106</v>
      </c>
      <c r="I71" s="54" t="s">
        <v>118</v>
      </c>
      <c r="J71" s="61" t="s">
        <v>950</v>
      </c>
      <c r="K71" s="90" t="s">
        <v>114</v>
      </c>
      <c r="L71" s="92" t="s">
        <v>178</v>
      </c>
      <c r="M71" s="92" t="s">
        <v>178</v>
      </c>
      <c r="N71" s="54" t="s">
        <v>762</v>
      </c>
      <c r="O71" s="54" t="s">
        <v>178</v>
      </c>
      <c r="P71" s="111" t="s">
        <v>114</v>
      </c>
      <c r="Q71" s="84" t="s">
        <v>178</v>
      </c>
      <c r="R71" s="54" t="s">
        <v>661</v>
      </c>
      <c r="S71" s="61" t="s">
        <v>114</v>
      </c>
      <c r="T71" s="54" t="s">
        <v>178</v>
      </c>
      <c r="U71" s="113" t="s">
        <v>178</v>
      </c>
      <c r="V71" s="61" t="s">
        <v>1060</v>
      </c>
      <c r="W71" s="61" t="s">
        <v>1202</v>
      </c>
      <c r="X71" s="90" t="s">
        <v>178</v>
      </c>
      <c r="Y71" s="90"/>
      <c r="Z71" s="54" t="s">
        <v>443</v>
      </c>
      <c r="AA71" s="54"/>
      <c r="AB71" s="54">
        <v>2019</v>
      </c>
      <c r="AC71" s="92" t="s">
        <v>178</v>
      </c>
      <c r="AD71" s="54" t="s">
        <v>178</v>
      </c>
      <c r="AE71" s="54"/>
    </row>
    <row r="72" spans="1:31" ht="39.6" x14ac:dyDescent="0.3">
      <c r="A72" s="54" t="s">
        <v>582</v>
      </c>
      <c r="B72" s="54">
        <v>5201</v>
      </c>
      <c r="C72" s="54" t="s">
        <v>661</v>
      </c>
      <c r="D72" s="54" t="s">
        <v>178</v>
      </c>
      <c r="E72" s="54" t="s">
        <v>668</v>
      </c>
      <c r="F72" s="54" t="s">
        <v>613</v>
      </c>
      <c r="G72" s="54" t="s">
        <v>614</v>
      </c>
      <c r="H72" s="54" t="s">
        <v>106</v>
      </c>
      <c r="I72" s="54" t="s">
        <v>1</v>
      </c>
      <c r="J72" s="61" t="s">
        <v>950</v>
      </c>
      <c r="K72" s="90" t="s">
        <v>178</v>
      </c>
      <c r="L72" s="92" t="s">
        <v>178</v>
      </c>
      <c r="M72" s="92" t="s">
        <v>178</v>
      </c>
      <c r="N72" s="54" t="s">
        <v>762</v>
      </c>
      <c r="O72" s="54" t="s">
        <v>178</v>
      </c>
      <c r="P72" s="111" t="s">
        <v>114</v>
      </c>
      <c r="Q72" s="84" t="s">
        <v>178</v>
      </c>
      <c r="R72" s="54" t="s">
        <v>661</v>
      </c>
      <c r="S72" s="61" t="s">
        <v>114</v>
      </c>
      <c r="T72" s="54" t="s">
        <v>178</v>
      </c>
      <c r="U72" s="113" t="s">
        <v>178</v>
      </c>
      <c r="V72" s="61" t="s">
        <v>1061</v>
      </c>
      <c r="W72" s="61" t="s">
        <v>1203</v>
      </c>
      <c r="X72" s="90" t="s">
        <v>178</v>
      </c>
      <c r="Y72" s="90"/>
      <c r="Z72" s="54" t="s">
        <v>443</v>
      </c>
      <c r="AA72" s="54"/>
      <c r="AB72" s="54">
        <v>2019</v>
      </c>
      <c r="AC72" s="92" t="s">
        <v>178</v>
      </c>
      <c r="AD72" s="54" t="s">
        <v>178</v>
      </c>
      <c r="AE72" s="54"/>
    </row>
    <row r="73" spans="1:31" ht="39.6" x14ac:dyDescent="0.3">
      <c r="A73" s="54" t="s">
        <v>582</v>
      </c>
      <c r="B73" s="54">
        <v>2345</v>
      </c>
      <c r="C73" s="54" t="s">
        <v>96</v>
      </c>
      <c r="D73" s="54" t="s">
        <v>554</v>
      </c>
      <c r="E73" s="54" t="s">
        <v>158</v>
      </c>
      <c r="F73" s="54" t="s">
        <v>517</v>
      </c>
      <c r="G73" s="59" t="s">
        <v>910</v>
      </c>
      <c r="H73" s="93" t="s">
        <v>444</v>
      </c>
      <c r="I73" s="54" t="s">
        <v>1</v>
      </c>
      <c r="J73" s="90" t="s">
        <v>178</v>
      </c>
      <c r="K73" s="90" t="s">
        <v>178</v>
      </c>
      <c r="L73" s="62">
        <v>62208</v>
      </c>
      <c r="M73" s="62">
        <v>2295</v>
      </c>
      <c r="N73" s="54" t="s">
        <v>103</v>
      </c>
      <c r="O73" s="62">
        <v>49057.663228099998</v>
      </c>
      <c r="P73" s="84" t="s">
        <v>178</v>
      </c>
      <c r="Q73" s="84" t="s">
        <v>178</v>
      </c>
      <c r="R73" s="54" t="s">
        <v>96</v>
      </c>
      <c r="S73" s="90" t="s">
        <v>114</v>
      </c>
      <c r="T73" s="54" t="s">
        <v>178</v>
      </c>
      <c r="U73" s="113" t="s">
        <v>178</v>
      </c>
      <c r="V73" s="90" t="s">
        <v>399</v>
      </c>
      <c r="W73" s="90" t="s">
        <v>399</v>
      </c>
      <c r="X73" s="90" t="s">
        <v>178</v>
      </c>
      <c r="Y73" s="117" t="s">
        <v>839</v>
      </c>
      <c r="Z73" s="54" t="s">
        <v>446</v>
      </c>
      <c r="AA73" s="54" t="s">
        <v>1</v>
      </c>
      <c r="AB73" s="54">
        <v>2012</v>
      </c>
      <c r="AC73" s="92" t="s">
        <v>178</v>
      </c>
      <c r="AD73" s="54" t="s">
        <v>178</v>
      </c>
      <c r="AE73" s="54"/>
    </row>
    <row r="74" spans="1:31" ht="39.6" x14ac:dyDescent="0.3">
      <c r="A74" s="54" t="s">
        <v>582</v>
      </c>
      <c r="B74" s="54">
        <v>4844</v>
      </c>
      <c r="C74" s="54" t="s">
        <v>96</v>
      </c>
      <c r="D74" s="54" t="s">
        <v>554</v>
      </c>
      <c r="E74" s="54" t="s">
        <v>555</v>
      </c>
      <c r="F74" s="54" t="s">
        <v>517</v>
      </c>
      <c r="G74" s="59" t="s">
        <v>910</v>
      </c>
      <c r="H74" s="54" t="s">
        <v>444</v>
      </c>
      <c r="I74" s="54" t="s">
        <v>1</v>
      </c>
      <c r="J74" s="61" t="s">
        <v>178</v>
      </c>
      <c r="K74" s="90" t="s">
        <v>178</v>
      </c>
      <c r="L74" s="62">
        <v>178228</v>
      </c>
      <c r="M74" s="62">
        <v>10123</v>
      </c>
      <c r="N74" s="54" t="s">
        <v>763</v>
      </c>
      <c r="O74" s="62">
        <v>149388.42381099999</v>
      </c>
      <c r="P74" s="84" t="s">
        <v>178</v>
      </c>
      <c r="Q74" s="84" t="s">
        <v>178</v>
      </c>
      <c r="R74" s="54" t="s">
        <v>96</v>
      </c>
      <c r="S74" s="90" t="s">
        <v>114</v>
      </c>
      <c r="T74" s="54" t="s">
        <v>178</v>
      </c>
      <c r="U74" s="113" t="s">
        <v>178</v>
      </c>
      <c r="V74" s="164" t="s">
        <v>399</v>
      </c>
      <c r="W74" s="164" t="s">
        <v>399</v>
      </c>
      <c r="X74" s="90" t="s">
        <v>178</v>
      </c>
      <c r="Y74" s="117" t="s">
        <v>839</v>
      </c>
      <c r="Z74" s="54" t="s">
        <v>446</v>
      </c>
      <c r="AA74" s="54" t="s">
        <v>2</v>
      </c>
      <c r="AB74" s="54">
        <v>2019</v>
      </c>
      <c r="AC74" s="92" t="s">
        <v>178</v>
      </c>
      <c r="AD74" s="54" t="s">
        <v>178</v>
      </c>
      <c r="AE74" s="54"/>
    </row>
    <row r="75" spans="1:31" ht="39.6" x14ac:dyDescent="0.3">
      <c r="A75" s="54" t="s">
        <v>582</v>
      </c>
      <c r="B75" s="54">
        <v>4845</v>
      </c>
      <c r="C75" s="54" t="s">
        <v>96</v>
      </c>
      <c r="D75" s="54" t="s">
        <v>554</v>
      </c>
      <c r="E75" s="54" t="s">
        <v>556</v>
      </c>
      <c r="F75" s="54" t="s">
        <v>517</v>
      </c>
      <c r="G75" s="59" t="s">
        <v>910</v>
      </c>
      <c r="H75" s="54" t="s">
        <v>444</v>
      </c>
      <c r="I75" s="54" t="s">
        <v>1</v>
      </c>
      <c r="J75" s="61" t="s">
        <v>178</v>
      </c>
      <c r="K75" s="90" t="s">
        <v>178</v>
      </c>
      <c r="L75" s="62">
        <v>119099</v>
      </c>
      <c r="M75" s="62">
        <v>5298</v>
      </c>
      <c r="N75" s="54" t="s">
        <v>762</v>
      </c>
      <c r="O75" s="62">
        <v>180103.99406999999</v>
      </c>
      <c r="P75" s="84" t="s">
        <v>178</v>
      </c>
      <c r="Q75" s="84" t="s">
        <v>178</v>
      </c>
      <c r="R75" s="54" t="s">
        <v>96</v>
      </c>
      <c r="S75" s="90" t="s">
        <v>114</v>
      </c>
      <c r="T75" s="54" t="s">
        <v>178</v>
      </c>
      <c r="U75" s="113" t="s">
        <v>178</v>
      </c>
      <c r="V75" s="164" t="s">
        <v>399</v>
      </c>
      <c r="W75" s="164" t="s">
        <v>399</v>
      </c>
      <c r="X75" s="90" t="s">
        <v>178</v>
      </c>
      <c r="Y75" s="117" t="s">
        <v>839</v>
      </c>
      <c r="Z75" s="54" t="s">
        <v>446</v>
      </c>
      <c r="AA75" s="54" t="s">
        <v>2</v>
      </c>
      <c r="AB75" s="54">
        <v>2019</v>
      </c>
      <c r="AC75" s="92" t="s">
        <v>178</v>
      </c>
      <c r="AD75" s="54" t="s">
        <v>178</v>
      </c>
      <c r="AE75" s="54"/>
    </row>
    <row r="76" spans="1:31" ht="26.4" x14ac:dyDescent="0.3">
      <c r="A76" s="54" t="s">
        <v>582</v>
      </c>
      <c r="B76" s="54">
        <v>4846</v>
      </c>
      <c r="C76" s="54" t="s">
        <v>96</v>
      </c>
      <c r="D76" s="54" t="s">
        <v>554</v>
      </c>
      <c r="E76" s="54" t="s">
        <v>557</v>
      </c>
      <c r="F76" s="59" t="s">
        <v>909</v>
      </c>
      <c r="G76" s="59" t="s">
        <v>911</v>
      </c>
      <c r="H76" s="54" t="s">
        <v>444</v>
      </c>
      <c r="I76" s="54" t="s">
        <v>1</v>
      </c>
      <c r="J76" s="90" t="s">
        <v>399</v>
      </c>
      <c r="K76" s="90" t="s">
        <v>178</v>
      </c>
      <c r="L76" s="92">
        <v>20202.717250264785</v>
      </c>
      <c r="M76" s="92">
        <v>1254.9082908748187</v>
      </c>
      <c r="N76" s="54" t="s">
        <v>103</v>
      </c>
      <c r="O76" s="59">
        <v>7107</v>
      </c>
      <c r="P76" s="84" t="s">
        <v>114</v>
      </c>
      <c r="Q76" s="84" t="s">
        <v>114</v>
      </c>
      <c r="R76" s="54" t="s">
        <v>114</v>
      </c>
      <c r="S76" s="90" t="s">
        <v>114</v>
      </c>
      <c r="T76" s="54" t="s">
        <v>178</v>
      </c>
      <c r="U76" s="113" t="s">
        <v>178</v>
      </c>
      <c r="V76" s="165" t="s">
        <v>399</v>
      </c>
      <c r="W76" s="165" t="s">
        <v>399</v>
      </c>
      <c r="X76" s="90" t="s">
        <v>178</v>
      </c>
      <c r="Y76" s="117" t="s">
        <v>839</v>
      </c>
      <c r="Z76" s="54" t="s">
        <v>446</v>
      </c>
      <c r="AA76" s="54" t="s">
        <v>2</v>
      </c>
      <c r="AB76" s="54">
        <v>2019</v>
      </c>
      <c r="AC76" s="92" t="s">
        <v>178</v>
      </c>
      <c r="AD76" s="54" t="s">
        <v>178</v>
      </c>
      <c r="AE76" s="54"/>
    </row>
    <row r="77" spans="1:31" ht="26.4" x14ac:dyDescent="0.3">
      <c r="A77" s="54" t="s">
        <v>582</v>
      </c>
      <c r="B77" s="54">
        <v>4847</v>
      </c>
      <c r="C77" s="54" t="s">
        <v>96</v>
      </c>
      <c r="D77" s="54" t="s">
        <v>554</v>
      </c>
      <c r="E77" s="54" t="s">
        <v>558</v>
      </c>
      <c r="F77" s="59" t="s">
        <v>909</v>
      </c>
      <c r="G77" s="59" t="s">
        <v>911</v>
      </c>
      <c r="H77" s="54" t="s">
        <v>444</v>
      </c>
      <c r="I77" s="54" t="s">
        <v>1</v>
      </c>
      <c r="J77" s="90" t="s">
        <v>399</v>
      </c>
      <c r="K77" s="90" t="s">
        <v>178</v>
      </c>
      <c r="L77" s="92">
        <v>26873.408849600462</v>
      </c>
      <c r="M77" s="92">
        <v>1556.1792481877096</v>
      </c>
      <c r="N77" s="54" t="s">
        <v>763</v>
      </c>
      <c r="O77" s="59">
        <v>19341</v>
      </c>
      <c r="P77" s="84" t="s">
        <v>114</v>
      </c>
      <c r="Q77" s="84" t="s">
        <v>114</v>
      </c>
      <c r="R77" s="54" t="s">
        <v>114</v>
      </c>
      <c r="S77" s="90" t="s">
        <v>114</v>
      </c>
      <c r="T77" s="54" t="s">
        <v>178</v>
      </c>
      <c r="U77" s="113" t="s">
        <v>178</v>
      </c>
      <c r="V77" s="165" t="s">
        <v>399</v>
      </c>
      <c r="W77" s="165" t="s">
        <v>399</v>
      </c>
      <c r="X77" s="90" t="s">
        <v>178</v>
      </c>
      <c r="Y77" s="117" t="s">
        <v>839</v>
      </c>
      <c r="Z77" s="54" t="s">
        <v>446</v>
      </c>
      <c r="AA77" s="54" t="s">
        <v>2</v>
      </c>
      <c r="AB77" s="54">
        <v>2019</v>
      </c>
      <c r="AC77" s="92" t="s">
        <v>178</v>
      </c>
      <c r="AD77" s="54" t="s">
        <v>178</v>
      </c>
      <c r="AE77" s="54"/>
    </row>
    <row r="78" spans="1:31" ht="26.4" x14ac:dyDescent="0.3">
      <c r="A78" s="54" t="s">
        <v>582</v>
      </c>
      <c r="B78" s="54">
        <v>4848</v>
      </c>
      <c r="C78" s="54" t="s">
        <v>96</v>
      </c>
      <c r="D78" s="54" t="s">
        <v>554</v>
      </c>
      <c r="E78" s="54" t="s">
        <v>559</v>
      </c>
      <c r="F78" s="59" t="s">
        <v>909</v>
      </c>
      <c r="G78" s="59" t="s">
        <v>911</v>
      </c>
      <c r="H78" s="54" t="s">
        <v>444</v>
      </c>
      <c r="I78" s="54" t="s">
        <v>1</v>
      </c>
      <c r="J78" s="90" t="s">
        <v>399</v>
      </c>
      <c r="K78" s="90" t="s">
        <v>178</v>
      </c>
      <c r="L78" s="92">
        <v>18469.933197654587</v>
      </c>
      <c r="M78" s="92">
        <v>1069.4887192161029</v>
      </c>
      <c r="N78" s="54" t="s">
        <v>762</v>
      </c>
      <c r="O78" s="59">
        <v>26005</v>
      </c>
      <c r="P78" s="84" t="s">
        <v>114</v>
      </c>
      <c r="Q78" s="84" t="s">
        <v>114</v>
      </c>
      <c r="R78" s="54" t="s">
        <v>114</v>
      </c>
      <c r="S78" s="90" t="s">
        <v>114</v>
      </c>
      <c r="T78" s="54" t="s">
        <v>178</v>
      </c>
      <c r="U78" s="113" t="s">
        <v>178</v>
      </c>
      <c r="V78" s="165" t="s">
        <v>399</v>
      </c>
      <c r="W78" s="165" t="s">
        <v>399</v>
      </c>
      <c r="X78" s="90" t="s">
        <v>178</v>
      </c>
      <c r="Y78" s="117" t="s">
        <v>839</v>
      </c>
      <c r="Z78" s="54" t="s">
        <v>446</v>
      </c>
      <c r="AA78" s="54" t="s">
        <v>2</v>
      </c>
      <c r="AB78" s="54">
        <v>2019</v>
      </c>
      <c r="AC78" s="92" t="s">
        <v>178</v>
      </c>
      <c r="AD78" s="54" t="s">
        <v>178</v>
      </c>
      <c r="AE78" s="54"/>
    </row>
    <row r="79" spans="1:31" x14ac:dyDescent="0.3">
      <c r="A79" s="54" t="s">
        <v>582</v>
      </c>
      <c r="B79" s="54">
        <v>2386</v>
      </c>
      <c r="C79" s="54" t="s">
        <v>427</v>
      </c>
      <c r="D79" s="54" t="s">
        <v>178</v>
      </c>
      <c r="E79" s="54" t="s">
        <v>159</v>
      </c>
      <c r="F79" s="54" t="s">
        <v>60</v>
      </c>
      <c r="G79" s="54" t="s">
        <v>363</v>
      </c>
      <c r="H79" s="54" t="s">
        <v>333</v>
      </c>
      <c r="I79" s="54" t="s">
        <v>2</v>
      </c>
      <c r="J79" s="90" t="s">
        <v>956</v>
      </c>
      <c r="K79" s="90" t="s">
        <v>76</v>
      </c>
      <c r="L79" s="92">
        <v>30.788114170129472</v>
      </c>
      <c r="M79" s="92" t="s">
        <v>114</v>
      </c>
      <c r="N79" s="54" t="s">
        <v>103</v>
      </c>
      <c r="O79" s="92">
        <v>2</v>
      </c>
      <c r="P79" s="84" t="s">
        <v>399</v>
      </c>
      <c r="Q79" s="84" t="s">
        <v>399</v>
      </c>
      <c r="R79" s="54" t="s">
        <v>335</v>
      </c>
      <c r="S79" s="90" t="s">
        <v>399</v>
      </c>
      <c r="T79" s="54" t="s">
        <v>178</v>
      </c>
      <c r="U79" s="113" t="s">
        <v>178</v>
      </c>
      <c r="V79" s="90" t="s">
        <v>1062</v>
      </c>
      <c r="W79" s="90" t="s">
        <v>1204</v>
      </c>
      <c r="X79" s="90" t="s">
        <v>178</v>
      </c>
      <c r="Y79" s="90"/>
      <c r="Z79" s="54" t="s">
        <v>443</v>
      </c>
      <c r="AA79" s="54" t="s">
        <v>2</v>
      </c>
      <c r="AB79" s="54">
        <v>2012</v>
      </c>
      <c r="AC79" s="92">
        <v>15.181724239999999</v>
      </c>
      <c r="AD79" s="54" t="s">
        <v>178</v>
      </c>
      <c r="AE79" s="54"/>
    </row>
    <row r="80" spans="1:31" x14ac:dyDescent="0.3">
      <c r="A80" s="54" t="s">
        <v>582</v>
      </c>
      <c r="B80" s="54">
        <v>2384</v>
      </c>
      <c r="C80" s="54" t="s">
        <v>427</v>
      </c>
      <c r="D80" s="54" t="s">
        <v>178</v>
      </c>
      <c r="E80" s="54" t="s">
        <v>160</v>
      </c>
      <c r="F80" s="54" t="s">
        <v>60</v>
      </c>
      <c r="G80" s="54" t="s">
        <v>364</v>
      </c>
      <c r="H80" s="54" t="s">
        <v>333</v>
      </c>
      <c r="I80" s="54" t="s">
        <v>2</v>
      </c>
      <c r="J80" s="90" t="s">
        <v>957</v>
      </c>
      <c r="K80" s="90" t="s">
        <v>76</v>
      </c>
      <c r="L80" s="92">
        <v>3.73189262668236</v>
      </c>
      <c r="M80" s="92" t="s">
        <v>114</v>
      </c>
      <c r="N80" s="54" t="s">
        <v>103</v>
      </c>
      <c r="O80" s="92">
        <v>2</v>
      </c>
      <c r="P80" s="84" t="s">
        <v>399</v>
      </c>
      <c r="Q80" s="84" t="s">
        <v>399</v>
      </c>
      <c r="R80" s="54" t="s">
        <v>335</v>
      </c>
      <c r="S80" s="90" t="s">
        <v>399</v>
      </c>
      <c r="T80" s="54" t="s">
        <v>178</v>
      </c>
      <c r="U80" s="113" t="s">
        <v>178</v>
      </c>
      <c r="V80" s="90" t="s">
        <v>1063</v>
      </c>
      <c r="W80" s="90" t="s">
        <v>1205</v>
      </c>
      <c r="X80" s="90" t="s">
        <v>178</v>
      </c>
      <c r="Y80" s="90"/>
      <c r="Z80" s="54" t="s">
        <v>443</v>
      </c>
      <c r="AA80" s="54" t="s">
        <v>2</v>
      </c>
      <c r="AB80" s="54">
        <v>2012</v>
      </c>
      <c r="AC80" s="92">
        <v>1.7100418399999999</v>
      </c>
      <c r="AD80" s="54" t="s">
        <v>178</v>
      </c>
      <c r="AE80" s="54"/>
    </row>
    <row r="81" spans="1:31" x14ac:dyDescent="0.3">
      <c r="A81" s="54" t="s">
        <v>582</v>
      </c>
      <c r="B81" s="54">
        <v>2343</v>
      </c>
      <c r="C81" s="54" t="s">
        <v>427</v>
      </c>
      <c r="D81" s="54" t="s">
        <v>178</v>
      </c>
      <c r="E81" s="54" t="s">
        <v>161</v>
      </c>
      <c r="F81" s="54" t="s">
        <v>60</v>
      </c>
      <c r="G81" s="54" t="s">
        <v>365</v>
      </c>
      <c r="H81" s="54" t="s">
        <v>333</v>
      </c>
      <c r="I81" s="54" t="s">
        <v>2</v>
      </c>
      <c r="J81" s="90" t="s">
        <v>957</v>
      </c>
      <c r="K81" s="90" t="s">
        <v>76</v>
      </c>
      <c r="L81" s="92">
        <v>3.73189262668236</v>
      </c>
      <c r="M81" s="92" t="s">
        <v>114</v>
      </c>
      <c r="N81" s="54" t="s">
        <v>103</v>
      </c>
      <c r="O81" s="92">
        <v>2</v>
      </c>
      <c r="P81" s="84" t="s">
        <v>399</v>
      </c>
      <c r="Q81" s="84" t="s">
        <v>399</v>
      </c>
      <c r="R81" s="54" t="s">
        <v>335</v>
      </c>
      <c r="S81" s="90" t="s">
        <v>399</v>
      </c>
      <c r="T81" s="54" t="s">
        <v>178</v>
      </c>
      <c r="U81" s="113" t="s">
        <v>178</v>
      </c>
      <c r="V81" s="90" t="s">
        <v>1064</v>
      </c>
      <c r="W81" s="90" t="s">
        <v>1206</v>
      </c>
      <c r="X81" s="90" t="s">
        <v>178</v>
      </c>
      <c r="Y81" s="90"/>
      <c r="Z81" s="54" t="s">
        <v>443</v>
      </c>
      <c r="AA81" s="54" t="s">
        <v>1</v>
      </c>
      <c r="AB81" s="54">
        <v>2012</v>
      </c>
      <c r="AC81" s="92">
        <v>1.8778708799999999</v>
      </c>
      <c r="AD81" s="54" t="s">
        <v>178</v>
      </c>
      <c r="AE81" s="54"/>
    </row>
    <row r="82" spans="1:31" x14ac:dyDescent="0.3">
      <c r="A82" s="54" t="s">
        <v>582</v>
      </c>
      <c r="B82" s="54">
        <v>2364</v>
      </c>
      <c r="C82" s="54" t="s">
        <v>427</v>
      </c>
      <c r="D82" s="54" t="s">
        <v>178</v>
      </c>
      <c r="E82" s="54" t="s">
        <v>162</v>
      </c>
      <c r="F82" s="54" t="s">
        <v>348</v>
      </c>
      <c r="G82" s="54" t="s">
        <v>256</v>
      </c>
      <c r="H82" s="54" t="s">
        <v>107</v>
      </c>
      <c r="I82" s="54" t="s">
        <v>2</v>
      </c>
      <c r="J82" s="90" t="s">
        <v>793</v>
      </c>
      <c r="K82" s="102" t="s">
        <v>793</v>
      </c>
      <c r="L82" s="92">
        <v>1810.9008970976151</v>
      </c>
      <c r="M82" s="92">
        <v>453.83971559779275</v>
      </c>
      <c r="N82" s="54" t="s">
        <v>103</v>
      </c>
      <c r="O82" s="92">
        <v>465</v>
      </c>
      <c r="P82" s="84" t="s">
        <v>399</v>
      </c>
      <c r="Q82" s="84" t="s">
        <v>399</v>
      </c>
      <c r="R82" s="54" t="s">
        <v>335</v>
      </c>
      <c r="S82" s="90" t="s">
        <v>399</v>
      </c>
      <c r="T82" s="54" t="s">
        <v>178</v>
      </c>
      <c r="U82" s="113" t="s">
        <v>178</v>
      </c>
      <c r="V82" s="90" t="s">
        <v>399</v>
      </c>
      <c r="W82" s="90" t="s">
        <v>399</v>
      </c>
      <c r="X82" s="90" t="s">
        <v>178</v>
      </c>
      <c r="Y82" s="90"/>
      <c r="Z82" s="54" t="s">
        <v>446</v>
      </c>
      <c r="AA82" s="54" t="s">
        <v>1</v>
      </c>
      <c r="AB82" s="54">
        <v>2012</v>
      </c>
      <c r="AC82" s="92">
        <v>880.42207199999996</v>
      </c>
      <c r="AD82" s="54" t="s">
        <v>178</v>
      </c>
      <c r="AE82" s="54"/>
    </row>
    <row r="83" spans="1:31" x14ac:dyDescent="0.3">
      <c r="A83" s="54" t="s">
        <v>582</v>
      </c>
      <c r="B83" s="54">
        <v>2362</v>
      </c>
      <c r="C83" s="54" t="s">
        <v>427</v>
      </c>
      <c r="D83" s="54" t="s">
        <v>178</v>
      </c>
      <c r="E83" s="54" t="s">
        <v>163</v>
      </c>
      <c r="F83" s="54" t="s">
        <v>12</v>
      </c>
      <c r="G83" s="54" t="s">
        <v>87</v>
      </c>
      <c r="H83" s="54" t="s">
        <v>12</v>
      </c>
      <c r="I83" s="54" t="s">
        <v>1</v>
      </c>
      <c r="J83" s="90" t="s">
        <v>793</v>
      </c>
      <c r="K83" s="90" t="s">
        <v>178</v>
      </c>
      <c r="L83" s="92">
        <v>252.90699958457918</v>
      </c>
      <c r="M83" s="92">
        <v>53.670550967361258</v>
      </c>
      <c r="N83" s="54" t="s">
        <v>103</v>
      </c>
      <c r="O83" s="92" t="s">
        <v>178</v>
      </c>
      <c r="P83" s="84" t="s">
        <v>399</v>
      </c>
      <c r="Q83" s="84" t="s">
        <v>399</v>
      </c>
      <c r="R83" s="54" t="s">
        <v>335</v>
      </c>
      <c r="S83" s="90" t="s">
        <v>399</v>
      </c>
      <c r="T83" s="54" t="s">
        <v>178</v>
      </c>
      <c r="U83" s="113" t="s">
        <v>178</v>
      </c>
      <c r="V83" s="90" t="s">
        <v>399</v>
      </c>
      <c r="W83" s="90" t="s">
        <v>399</v>
      </c>
      <c r="X83" s="90" t="s">
        <v>178</v>
      </c>
      <c r="Y83" s="90"/>
      <c r="Z83" s="54" t="s">
        <v>446</v>
      </c>
      <c r="AA83" s="54" t="s">
        <v>2</v>
      </c>
      <c r="AB83" s="54">
        <v>2012</v>
      </c>
      <c r="AC83" s="92">
        <v>105.233344</v>
      </c>
      <c r="AD83" s="54" t="s">
        <v>178</v>
      </c>
      <c r="AE83" s="54"/>
    </row>
    <row r="84" spans="1:31" x14ac:dyDescent="0.3">
      <c r="A84" s="54" t="s">
        <v>582</v>
      </c>
      <c r="B84" s="54">
        <v>2360</v>
      </c>
      <c r="C84" s="54" t="s">
        <v>427</v>
      </c>
      <c r="D84" s="54" t="s">
        <v>178</v>
      </c>
      <c r="E84" s="54" t="s">
        <v>164</v>
      </c>
      <c r="F84" s="54" t="s">
        <v>3</v>
      </c>
      <c r="G84" s="54" t="s">
        <v>177</v>
      </c>
      <c r="H84" s="54" t="s">
        <v>3</v>
      </c>
      <c r="I84" s="54" t="s">
        <v>1</v>
      </c>
      <c r="J84" s="90" t="s">
        <v>958</v>
      </c>
      <c r="K84" s="90" t="s">
        <v>178</v>
      </c>
      <c r="L84" s="134">
        <v>473.01739043198916</v>
      </c>
      <c r="M84" s="92">
        <v>346.22823664161507</v>
      </c>
      <c r="N84" s="54" t="s">
        <v>103</v>
      </c>
      <c r="O84" s="92" t="s">
        <v>178</v>
      </c>
      <c r="P84" s="84" t="s">
        <v>399</v>
      </c>
      <c r="Q84" s="84" t="s">
        <v>399</v>
      </c>
      <c r="R84" s="54" t="s">
        <v>335</v>
      </c>
      <c r="S84" s="90" t="s">
        <v>399</v>
      </c>
      <c r="T84" s="54" t="s">
        <v>178</v>
      </c>
      <c r="U84" s="113" t="s">
        <v>178</v>
      </c>
      <c r="V84" s="90" t="s">
        <v>399</v>
      </c>
      <c r="W84" s="90" t="s">
        <v>399</v>
      </c>
      <c r="X84" s="90" t="s">
        <v>178</v>
      </c>
      <c r="Y84" s="90"/>
      <c r="Z84" s="54" t="s">
        <v>446</v>
      </c>
      <c r="AA84" s="54" t="s">
        <v>2</v>
      </c>
      <c r="AB84" s="54">
        <v>2012</v>
      </c>
      <c r="AC84" s="92">
        <v>598.74192840000001</v>
      </c>
      <c r="AD84" s="54" t="s">
        <v>178</v>
      </c>
      <c r="AE84" s="54"/>
    </row>
    <row r="85" spans="1:31" ht="39.6" x14ac:dyDescent="0.3">
      <c r="A85" s="54" t="s">
        <v>582</v>
      </c>
      <c r="B85" s="54">
        <v>2358</v>
      </c>
      <c r="C85" s="54" t="s">
        <v>427</v>
      </c>
      <c r="D85" s="54" t="s">
        <v>178</v>
      </c>
      <c r="E85" s="54" t="s">
        <v>165</v>
      </c>
      <c r="F85" s="54" t="s">
        <v>61</v>
      </c>
      <c r="G85" s="54" t="s">
        <v>402</v>
      </c>
      <c r="H85" s="54" t="s">
        <v>239</v>
      </c>
      <c r="I85" s="54" t="s">
        <v>2</v>
      </c>
      <c r="J85" s="90" t="s">
        <v>959</v>
      </c>
      <c r="K85" s="90" t="s">
        <v>76</v>
      </c>
      <c r="L85" s="92">
        <v>273.36113490448287</v>
      </c>
      <c r="M85" s="92" t="s">
        <v>114</v>
      </c>
      <c r="N85" s="54" t="s">
        <v>103</v>
      </c>
      <c r="O85" s="92">
        <v>56</v>
      </c>
      <c r="P85" s="84" t="s">
        <v>399</v>
      </c>
      <c r="Q85" s="84" t="s">
        <v>399</v>
      </c>
      <c r="R85" s="54" t="s">
        <v>335</v>
      </c>
      <c r="S85" s="90" t="s">
        <v>399</v>
      </c>
      <c r="T85" s="54" t="s">
        <v>178</v>
      </c>
      <c r="U85" s="113" t="s">
        <v>178</v>
      </c>
      <c r="V85" s="90" t="s">
        <v>1065</v>
      </c>
      <c r="W85" s="90" t="s">
        <v>1207</v>
      </c>
      <c r="X85" s="90" t="s">
        <v>178</v>
      </c>
      <c r="Y85" s="90"/>
      <c r="Z85" s="54" t="s">
        <v>443</v>
      </c>
      <c r="AA85" s="54" t="s">
        <v>2</v>
      </c>
      <c r="AB85" s="54">
        <v>2012</v>
      </c>
      <c r="AC85" s="92">
        <v>132.77545024</v>
      </c>
      <c r="AD85" s="54" t="s">
        <v>178</v>
      </c>
      <c r="AE85" s="54"/>
    </row>
    <row r="86" spans="1:31" ht="39.6" x14ac:dyDescent="0.3">
      <c r="A86" s="54" t="s">
        <v>582</v>
      </c>
      <c r="B86" s="54">
        <v>2280</v>
      </c>
      <c r="C86" s="54" t="s">
        <v>427</v>
      </c>
      <c r="D86" s="54" t="s">
        <v>178</v>
      </c>
      <c r="E86" s="54" t="s">
        <v>166</v>
      </c>
      <c r="F86" s="54" t="s">
        <v>61</v>
      </c>
      <c r="G86" s="146" t="s">
        <v>930</v>
      </c>
      <c r="H86" s="54" t="s">
        <v>239</v>
      </c>
      <c r="I86" s="54" t="s">
        <v>2</v>
      </c>
      <c r="J86" s="90" t="s">
        <v>960</v>
      </c>
      <c r="K86" s="90" t="s">
        <v>76</v>
      </c>
      <c r="L86" s="92">
        <v>179.13084608075329</v>
      </c>
      <c r="M86" s="92" t="s">
        <v>114</v>
      </c>
      <c r="N86" s="54" t="s">
        <v>103</v>
      </c>
      <c r="O86" s="92">
        <v>55</v>
      </c>
      <c r="P86" s="84" t="s">
        <v>399</v>
      </c>
      <c r="Q86" s="84" t="s">
        <v>399</v>
      </c>
      <c r="R86" s="54" t="s">
        <v>335</v>
      </c>
      <c r="S86" s="90" t="s">
        <v>399</v>
      </c>
      <c r="T86" s="54" t="s">
        <v>178</v>
      </c>
      <c r="U86" s="113" t="s">
        <v>178</v>
      </c>
      <c r="V86" s="90" t="s">
        <v>1066</v>
      </c>
      <c r="W86" s="90" t="s">
        <v>1208</v>
      </c>
      <c r="X86" s="90" t="s">
        <v>178</v>
      </c>
      <c r="Y86" s="90"/>
      <c r="Z86" s="54" t="s">
        <v>443</v>
      </c>
      <c r="AA86" s="54" t="s">
        <v>2</v>
      </c>
      <c r="AB86" s="54">
        <v>2012</v>
      </c>
      <c r="AC86" s="92">
        <v>87.284708559999999</v>
      </c>
      <c r="AD86" s="54" t="s">
        <v>178</v>
      </c>
      <c r="AE86" s="54"/>
    </row>
    <row r="87" spans="1:31" ht="39.6" x14ac:dyDescent="0.3">
      <c r="A87" s="54" t="s">
        <v>582</v>
      </c>
      <c r="B87" s="54">
        <v>2281</v>
      </c>
      <c r="C87" s="54" t="s">
        <v>427</v>
      </c>
      <c r="D87" s="54" t="s">
        <v>178</v>
      </c>
      <c r="E87" s="54" t="s">
        <v>296</v>
      </c>
      <c r="F87" s="54" t="s">
        <v>61</v>
      </c>
      <c r="G87" s="54" t="s">
        <v>92</v>
      </c>
      <c r="H87" s="54" t="s">
        <v>239</v>
      </c>
      <c r="I87" s="54" t="s">
        <v>2</v>
      </c>
      <c r="J87" s="90" t="s">
        <v>178</v>
      </c>
      <c r="K87" s="90" t="s">
        <v>76</v>
      </c>
      <c r="L87" s="92">
        <v>318.14384642467121</v>
      </c>
      <c r="M87" s="92" t="s">
        <v>114</v>
      </c>
      <c r="N87" s="54" t="s">
        <v>103</v>
      </c>
      <c r="O87" s="92">
        <v>55</v>
      </c>
      <c r="P87" s="84" t="s">
        <v>399</v>
      </c>
      <c r="Q87" s="84" t="s">
        <v>399</v>
      </c>
      <c r="R87" s="54" t="s">
        <v>335</v>
      </c>
      <c r="S87" s="90" t="s">
        <v>399</v>
      </c>
      <c r="T87" s="54" t="s">
        <v>178</v>
      </c>
      <c r="U87" s="113" t="s">
        <v>178</v>
      </c>
      <c r="V87" s="90" t="s">
        <v>399</v>
      </c>
      <c r="W87" s="90" t="s">
        <v>399</v>
      </c>
      <c r="X87" s="90" t="s">
        <v>178</v>
      </c>
      <c r="Y87" s="90"/>
      <c r="Z87" s="54" t="s">
        <v>443</v>
      </c>
      <c r="AA87" s="54"/>
      <c r="AB87" s="54">
        <v>2012</v>
      </c>
      <c r="AC87" s="92">
        <v>154.61136912000001</v>
      </c>
      <c r="AD87" s="54" t="s">
        <v>178</v>
      </c>
      <c r="AE87" s="54"/>
    </row>
    <row r="88" spans="1:31" ht="39.6" x14ac:dyDescent="0.3">
      <c r="A88" s="54" t="s">
        <v>582</v>
      </c>
      <c r="B88" s="54">
        <v>2303</v>
      </c>
      <c r="C88" s="54" t="s">
        <v>427</v>
      </c>
      <c r="D88" s="54" t="s">
        <v>178</v>
      </c>
      <c r="E88" s="54" t="s">
        <v>297</v>
      </c>
      <c r="F88" s="54" t="s">
        <v>276</v>
      </c>
      <c r="G88" s="54" t="s">
        <v>91</v>
      </c>
      <c r="H88" s="54" t="s">
        <v>241</v>
      </c>
      <c r="I88" s="54" t="s">
        <v>2</v>
      </c>
      <c r="J88" s="90" t="s">
        <v>178</v>
      </c>
      <c r="K88" s="90" t="s">
        <v>76</v>
      </c>
      <c r="L88" s="92">
        <v>4617.2841523627503</v>
      </c>
      <c r="M88" s="92" t="s">
        <v>114</v>
      </c>
      <c r="N88" s="54" t="s">
        <v>103</v>
      </c>
      <c r="O88" s="92">
        <v>1353</v>
      </c>
      <c r="P88" s="84" t="s">
        <v>399</v>
      </c>
      <c r="Q88" s="84" t="s">
        <v>399</v>
      </c>
      <c r="R88" s="54" t="s">
        <v>335</v>
      </c>
      <c r="S88" s="90" t="s">
        <v>399</v>
      </c>
      <c r="T88" s="54" t="s">
        <v>178</v>
      </c>
      <c r="U88" s="113" t="s">
        <v>178</v>
      </c>
      <c r="V88" s="90" t="s">
        <v>399</v>
      </c>
      <c r="W88" s="90" t="s">
        <v>399</v>
      </c>
      <c r="X88" s="90" t="s">
        <v>178</v>
      </c>
      <c r="Y88" s="90"/>
      <c r="Z88" s="54" t="s">
        <v>443</v>
      </c>
      <c r="AA88" s="54"/>
      <c r="AB88" s="54">
        <v>2012</v>
      </c>
      <c r="AC88" s="92">
        <v>2244.8268079999998</v>
      </c>
      <c r="AD88" s="54" t="s">
        <v>178</v>
      </c>
      <c r="AE88" s="54"/>
    </row>
    <row r="89" spans="1:31" x14ac:dyDescent="0.3">
      <c r="A89" s="54" t="s">
        <v>582</v>
      </c>
      <c r="B89" s="54">
        <v>2317</v>
      </c>
      <c r="C89" s="54" t="s">
        <v>427</v>
      </c>
      <c r="D89" s="54" t="s">
        <v>178</v>
      </c>
      <c r="E89" s="54" t="s">
        <v>298</v>
      </c>
      <c r="F89" s="54" t="s">
        <v>62</v>
      </c>
      <c r="G89" s="54" t="s">
        <v>366</v>
      </c>
      <c r="H89" s="54" t="s">
        <v>108</v>
      </c>
      <c r="I89" s="54" t="s">
        <v>2</v>
      </c>
      <c r="J89" s="90" t="s">
        <v>961</v>
      </c>
      <c r="K89" s="90" t="s">
        <v>76</v>
      </c>
      <c r="L89" s="92">
        <v>224.84653075761219</v>
      </c>
      <c r="M89" s="92" t="s">
        <v>114</v>
      </c>
      <c r="N89" s="54" t="s">
        <v>103</v>
      </c>
      <c r="O89" s="92">
        <v>14.090909090909092</v>
      </c>
      <c r="P89" s="84" t="s">
        <v>399</v>
      </c>
      <c r="Q89" s="84" t="s">
        <v>399</v>
      </c>
      <c r="R89" s="54" t="s">
        <v>335</v>
      </c>
      <c r="S89" s="90" t="s">
        <v>399</v>
      </c>
      <c r="T89" s="54" t="s">
        <v>178</v>
      </c>
      <c r="U89" s="113" t="s">
        <v>178</v>
      </c>
      <c r="V89" s="90" t="s">
        <v>1067</v>
      </c>
      <c r="W89" s="90" t="s">
        <v>1209</v>
      </c>
      <c r="X89" s="90" t="s">
        <v>178</v>
      </c>
      <c r="Y89" s="90"/>
      <c r="Z89" s="54" t="s">
        <v>443</v>
      </c>
      <c r="AA89" s="54"/>
      <c r="AB89" s="54">
        <v>2012</v>
      </c>
      <c r="AC89" s="92">
        <v>9.919044892561983</v>
      </c>
      <c r="AD89" s="54" t="s">
        <v>178</v>
      </c>
      <c r="AE89" s="54"/>
    </row>
    <row r="90" spans="1:31" x14ac:dyDescent="0.3">
      <c r="A90" s="54" t="s">
        <v>582</v>
      </c>
      <c r="B90" s="54">
        <v>2305</v>
      </c>
      <c r="C90" s="54" t="s">
        <v>427</v>
      </c>
      <c r="D90" s="54" t="s">
        <v>178</v>
      </c>
      <c r="E90" s="54" t="s">
        <v>299</v>
      </c>
      <c r="F90" s="54" t="s">
        <v>62</v>
      </c>
      <c r="G90" s="54" t="s">
        <v>367</v>
      </c>
      <c r="H90" s="54" t="s">
        <v>108</v>
      </c>
      <c r="I90" s="54" t="s">
        <v>2</v>
      </c>
      <c r="J90" s="90" t="s">
        <v>961</v>
      </c>
      <c r="K90" s="90" t="s">
        <v>76</v>
      </c>
      <c r="L90" s="92">
        <v>224.84653075761219</v>
      </c>
      <c r="M90" s="92" t="s">
        <v>114</v>
      </c>
      <c r="N90" s="54" t="s">
        <v>103</v>
      </c>
      <c r="O90" s="92">
        <v>14.090909090909092</v>
      </c>
      <c r="P90" s="84" t="s">
        <v>399</v>
      </c>
      <c r="Q90" s="84" t="s">
        <v>399</v>
      </c>
      <c r="R90" s="54" t="s">
        <v>335</v>
      </c>
      <c r="S90" s="90" t="s">
        <v>399</v>
      </c>
      <c r="T90" s="54" t="s">
        <v>178</v>
      </c>
      <c r="U90" s="113" t="s">
        <v>178</v>
      </c>
      <c r="V90" s="90" t="s">
        <v>1068</v>
      </c>
      <c r="W90" s="90" t="s">
        <v>1210</v>
      </c>
      <c r="X90" s="90" t="s">
        <v>178</v>
      </c>
      <c r="Y90" s="90"/>
      <c r="Z90" s="54" t="s">
        <v>443</v>
      </c>
      <c r="AA90" s="54"/>
      <c r="AB90" s="54">
        <v>2012</v>
      </c>
      <c r="AC90" s="92">
        <v>9.919044892561983</v>
      </c>
      <c r="AD90" s="54" t="s">
        <v>178</v>
      </c>
      <c r="AE90" s="54"/>
    </row>
    <row r="91" spans="1:31" x14ac:dyDescent="0.3">
      <c r="A91" s="54" t="s">
        <v>582</v>
      </c>
      <c r="B91" s="54">
        <v>2294</v>
      </c>
      <c r="C91" s="54" t="s">
        <v>427</v>
      </c>
      <c r="D91" s="54" t="s">
        <v>178</v>
      </c>
      <c r="E91" s="54" t="s">
        <v>300</v>
      </c>
      <c r="F91" s="54" t="s">
        <v>62</v>
      </c>
      <c r="G91" s="54" t="s">
        <v>368</v>
      </c>
      <c r="H91" s="54" t="s">
        <v>108</v>
      </c>
      <c r="I91" s="54" t="s">
        <v>2</v>
      </c>
      <c r="J91" s="90" t="s">
        <v>958</v>
      </c>
      <c r="K91" s="90" t="s">
        <v>76</v>
      </c>
      <c r="L91" s="92">
        <v>224.84653075761219</v>
      </c>
      <c r="M91" s="92" t="s">
        <v>114</v>
      </c>
      <c r="N91" s="54" t="s">
        <v>103</v>
      </c>
      <c r="O91" s="92">
        <v>14.090909090909092</v>
      </c>
      <c r="P91" s="84" t="s">
        <v>399</v>
      </c>
      <c r="Q91" s="84" t="s">
        <v>399</v>
      </c>
      <c r="R91" s="54" t="s">
        <v>335</v>
      </c>
      <c r="S91" s="90" t="s">
        <v>399</v>
      </c>
      <c r="T91" s="54" t="s">
        <v>178</v>
      </c>
      <c r="U91" s="113" t="s">
        <v>178</v>
      </c>
      <c r="V91" s="90" t="s">
        <v>1069</v>
      </c>
      <c r="W91" s="90" t="s">
        <v>1211</v>
      </c>
      <c r="X91" s="90" t="s">
        <v>178</v>
      </c>
      <c r="Y91" s="90"/>
      <c r="Z91" s="54" t="s">
        <v>443</v>
      </c>
      <c r="AA91" s="54"/>
      <c r="AB91" s="54">
        <v>2012</v>
      </c>
      <c r="AC91" s="92">
        <v>9.919044892561983</v>
      </c>
      <c r="AD91" s="54" t="s">
        <v>178</v>
      </c>
      <c r="AE91" s="54"/>
    </row>
    <row r="92" spans="1:31" x14ac:dyDescent="0.3">
      <c r="A92" s="54" t="s">
        <v>582</v>
      </c>
      <c r="B92" s="54">
        <v>2307</v>
      </c>
      <c r="C92" s="54" t="s">
        <v>427</v>
      </c>
      <c r="D92" s="54" t="s">
        <v>178</v>
      </c>
      <c r="E92" s="54" t="s">
        <v>301</v>
      </c>
      <c r="F92" s="54" t="s">
        <v>62</v>
      </c>
      <c r="G92" s="54" t="s">
        <v>369</v>
      </c>
      <c r="H92" s="54" t="s">
        <v>108</v>
      </c>
      <c r="I92" s="54" t="s">
        <v>2</v>
      </c>
      <c r="J92" s="90" t="s">
        <v>958</v>
      </c>
      <c r="K92" s="90" t="s">
        <v>76</v>
      </c>
      <c r="L92" s="92">
        <v>224.84653075761219</v>
      </c>
      <c r="M92" s="92" t="s">
        <v>114</v>
      </c>
      <c r="N92" s="54" t="s">
        <v>103</v>
      </c>
      <c r="O92" s="92">
        <v>14.090909090909092</v>
      </c>
      <c r="P92" s="84" t="s">
        <v>399</v>
      </c>
      <c r="Q92" s="84" t="s">
        <v>399</v>
      </c>
      <c r="R92" s="54" t="s">
        <v>335</v>
      </c>
      <c r="S92" s="90" t="s">
        <v>399</v>
      </c>
      <c r="T92" s="54" t="s">
        <v>178</v>
      </c>
      <c r="U92" s="113" t="s">
        <v>178</v>
      </c>
      <c r="V92" s="90" t="s">
        <v>1070</v>
      </c>
      <c r="W92" s="90" t="s">
        <v>1212</v>
      </c>
      <c r="X92" s="90" t="s">
        <v>178</v>
      </c>
      <c r="Y92" s="90"/>
      <c r="Z92" s="54" t="s">
        <v>443</v>
      </c>
      <c r="AA92" s="54"/>
      <c r="AB92" s="54">
        <v>2012</v>
      </c>
      <c r="AC92" s="92">
        <v>9.919044892561983</v>
      </c>
      <c r="AD92" s="54" t="s">
        <v>178</v>
      </c>
      <c r="AE92" s="54"/>
    </row>
    <row r="93" spans="1:31" x14ac:dyDescent="0.3">
      <c r="A93" s="54" t="s">
        <v>582</v>
      </c>
      <c r="B93" s="54">
        <v>2308</v>
      </c>
      <c r="C93" s="54" t="s">
        <v>427</v>
      </c>
      <c r="D93" s="54" t="s">
        <v>178</v>
      </c>
      <c r="E93" s="54" t="s">
        <v>302</v>
      </c>
      <c r="F93" s="54" t="s">
        <v>62</v>
      </c>
      <c r="G93" s="54" t="s">
        <v>370</v>
      </c>
      <c r="H93" s="54" t="s">
        <v>108</v>
      </c>
      <c r="I93" s="54" t="s">
        <v>2</v>
      </c>
      <c r="J93" s="90" t="s">
        <v>958</v>
      </c>
      <c r="K93" s="90" t="s">
        <v>76</v>
      </c>
      <c r="L93" s="92">
        <v>224.84653075761219</v>
      </c>
      <c r="M93" s="92" t="s">
        <v>114</v>
      </c>
      <c r="N93" s="54" t="s">
        <v>103</v>
      </c>
      <c r="O93" s="92">
        <v>14.090909090909092</v>
      </c>
      <c r="P93" s="84" t="s">
        <v>399</v>
      </c>
      <c r="Q93" s="84" t="s">
        <v>399</v>
      </c>
      <c r="R93" s="54" t="s">
        <v>335</v>
      </c>
      <c r="S93" s="90" t="s">
        <v>399</v>
      </c>
      <c r="T93" s="54" t="s">
        <v>178</v>
      </c>
      <c r="U93" s="113" t="s">
        <v>178</v>
      </c>
      <c r="V93" s="90" t="s">
        <v>1071</v>
      </c>
      <c r="W93" s="90" t="s">
        <v>1213</v>
      </c>
      <c r="X93" s="90" t="s">
        <v>178</v>
      </c>
      <c r="Y93" s="90"/>
      <c r="Z93" s="54" t="s">
        <v>443</v>
      </c>
      <c r="AA93" s="54"/>
      <c r="AB93" s="54">
        <v>2012</v>
      </c>
      <c r="AC93" s="92">
        <v>9.919044892561983</v>
      </c>
      <c r="AD93" s="54" t="s">
        <v>178</v>
      </c>
      <c r="AE93" s="54"/>
    </row>
    <row r="94" spans="1:31" x14ac:dyDescent="0.3">
      <c r="A94" s="54" t="s">
        <v>582</v>
      </c>
      <c r="B94" s="54">
        <v>2309</v>
      </c>
      <c r="C94" s="54" t="s">
        <v>427</v>
      </c>
      <c r="D94" s="54" t="s">
        <v>178</v>
      </c>
      <c r="E94" s="54" t="s">
        <v>303</v>
      </c>
      <c r="F94" s="54" t="s">
        <v>62</v>
      </c>
      <c r="G94" s="54" t="s">
        <v>371</v>
      </c>
      <c r="H94" s="54" t="s">
        <v>108</v>
      </c>
      <c r="I94" s="54" t="s">
        <v>2</v>
      </c>
      <c r="J94" s="90" t="s">
        <v>958</v>
      </c>
      <c r="K94" s="90" t="s">
        <v>76</v>
      </c>
      <c r="L94" s="92">
        <v>224.84653075761219</v>
      </c>
      <c r="M94" s="92" t="s">
        <v>114</v>
      </c>
      <c r="N94" s="54" t="s">
        <v>103</v>
      </c>
      <c r="O94" s="92">
        <v>14.090909090909092</v>
      </c>
      <c r="P94" s="84" t="s">
        <v>399</v>
      </c>
      <c r="Q94" s="84" t="s">
        <v>399</v>
      </c>
      <c r="R94" s="54" t="s">
        <v>335</v>
      </c>
      <c r="S94" s="90" t="s">
        <v>399</v>
      </c>
      <c r="T94" s="54" t="s">
        <v>178</v>
      </c>
      <c r="U94" s="113" t="s">
        <v>178</v>
      </c>
      <c r="V94" s="90" t="s">
        <v>1072</v>
      </c>
      <c r="W94" s="90" t="s">
        <v>1214</v>
      </c>
      <c r="X94" s="90" t="s">
        <v>178</v>
      </c>
      <c r="Y94" s="90"/>
      <c r="Z94" s="54" t="s">
        <v>443</v>
      </c>
      <c r="AA94" s="54"/>
      <c r="AB94" s="54">
        <v>2012</v>
      </c>
      <c r="AC94" s="92">
        <v>9.919044892561983</v>
      </c>
      <c r="AD94" s="54" t="s">
        <v>178</v>
      </c>
      <c r="AE94" s="54"/>
    </row>
    <row r="95" spans="1:31" x14ac:dyDescent="0.3">
      <c r="A95" s="54" t="s">
        <v>582</v>
      </c>
      <c r="B95" s="54">
        <v>2310</v>
      </c>
      <c r="C95" s="54" t="s">
        <v>427</v>
      </c>
      <c r="D95" s="54" t="s">
        <v>178</v>
      </c>
      <c r="E95" s="54" t="s">
        <v>304</v>
      </c>
      <c r="F95" s="54" t="s">
        <v>62</v>
      </c>
      <c r="G95" s="54" t="s">
        <v>372</v>
      </c>
      <c r="H95" s="54" t="s">
        <v>108</v>
      </c>
      <c r="I95" s="54" t="s">
        <v>2</v>
      </c>
      <c r="J95" s="90" t="s">
        <v>958</v>
      </c>
      <c r="K95" s="90" t="s">
        <v>76</v>
      </c>
      <c r="L95" s="92">
        <v>224.84653075761219</v>
      </c>
      <c r="M95" s="92" t="s">
        <v>114</v>
      </c>
      <c r="N95" s="54" t="s">
        <v>103</v>
      </c>
      <c r="O95" s="92">
        <v>14.090909090909092</v>
      </c>
      <c r="P95" s="84" t="s">
        <v>399</v>
      </c>
      <c r="Q95" s="84" t="s">
        <v>399</v>
      </c>
      <c r="R95" s="54" t="s">
        <v>335</v>
      </c>
      <c r="S95" s="90" t="s">
        <v>399</v>
      </c>
      <c r="T95" s="54" t="s">
        <v>178</v>
      </c>
      <c r="U95" s="113" t="s">
        <v>178</v>
      </c>
      <c r="V95" s="90" t="s">
        <v>1073</v>
      </c>
      <c r="W95" s="90" t="s">
        <v>1215</v>
      </c>
      <c r="X95" s="90" t="s">
        <v>178</v>
      </c>
      <c r="Y95" s="90"/>
      <c r="Z95" s="54" t="s">
        <v>443</v>
      </c>
      <c r="AA95" s="54"/>
      <c r="AB95" s="54">
        <v>2012</v>
      </c>
      <c r="AC95" s="92">
        <v>9.919044892561983</v>
      </c>
      <c r="AD95" s="54" t="s">
        <v>178</v>
      </c>
      <c r="AE95" s="54"/>
    </row>
    <row r="96" spans="1:31" x14ac:dyDescent="0.3">
      <c r="A96" s="54" t="s">
        <v>582</v>
      </c>
      <c r="B96" s="54">
        <v>2311</v>
      </c>
      <c r="C96" s="54" t="s">
        <v>427</v>
      </c>
      <c r="D96" s="54" t="s">
        <v>178</v>
      </c>
      <c r="E96" s="54" t="s">
        <v>305</v>
      </c>
      <c r="F96" s="54" t="s">
        <v>62</v>
      </c>
      <c r="G96" s="54" t="s">
        <v>373</v>
      </c>
      <c r="H96" s="54" t="s">
        <v>108</v>
      </c>
      <c r="I96" s="54" t="s">
        <v>2</v>
      </c>
      <c r="J96" s="90" t="s">
        <v>957</v>
      </c>
      <c r="K96" s="90" t="s">
        <v>76</v>
      </c>
      <c r="L96" s="92">
        <v>224.84653075761219</v>
      </c>
      <c r="M96" s="92" t="s">
        <v>114</v>
      </c>
      <c r="N96" s="54" t="s">
        <v>103</v>
      </c>
      <c r="O96" s="92">
        <v>14.090909090909092</v>
      </c>
      <c r="P96" s="84" t="s">
        <v>399</v>
      </c>
      <c r="Q96" s="84" t="s">
        <v>399</v>
      </c>
      <c r="R96" s="54" t="s">
        <v>335</v>
      </c>
      <c r="S96" s="90" t="s">
        <v>399</v>
      </c>
      <c r="T96" s="54" t="s">
        <v>178</v>
      </c>
      <c r="U96" s="113" t="s">
        <v>178</v>
      </c>
      <c r="V96" s="90" t="s">
        <v>1074</v>
      </c>
      <c r="W96" s="90" t="s">
        <v>1216</v>
      </c>
      <c r="X96" s="90" t="s">
        <v>178</v>
      </c>
      <c r="Y96" s="90"/>
      <c r="Z96" s="54" t="s">
        <v>443</v>
      </c>
      <c r="AA96" s="54"/>
      <c r="AB96" s="54">
        <v>2012</v>
      </c>
      <c r="AC96" s="92">
        <v>9.919044892561983</v>
      </c>
      <c r="AD96" s="54" t="s">
        <v>178</v>
      </c>
      <c r="AE96" s="54"/>
    </row>
    <row r="97" spans="1:31" x14ac:dyDescent="0.3">
      <c r="A97" s="54" t="s">
        <v>582</v>
      </c>
      <c r="B97" s="54">
        <v>2312</v>
      </c>
      <c r="C97" s="54" t="s">
        <v>427</v>
      </c>
      <c r="D97" s="54" t="s">
        <v>178</v>
      </c>
      <c r="E97" s="54" t="s">
        <v>306</v>
      </c>
      <c r="F97" s="54" t="s">
        <v>62</v>
      </c>
      <c r="G97" s="54" t="s">
        <v>374</v>
      </c>
      <c r="H97" s="54" t="s">
        <v>108</v>
      </c>
      <c r="I97" s="54" t="s">
        <v>2</v>
      </c>
      <c r="J97" s="90" t="s">
        <v>958</v>
      </c>
      <c r="K97" s="90" t="s">
        <v>76</v>
      </c>
      <c r="L97" s="92">
        <v>224.84653075761219</v>
      </c>
      <c r="M97" s="92" t="s">
        <v>114</v>
      </c>
      <c r="N97" s="54" t="s">
        <v>103</v>
      </c>
      <c r="O97" s="92">
        <v>14.090909090909092</v>
      </c>
      <c r="P97" s="84" t="s">
        <v>399</v>
      </c>
      <c r="Q97" s="84" t="s">
        <v>399</v>
      </c>
      <c r="R97" s="54" t="s">
        <v>335</v>
      </c>
      <c r="S97" s="90" t="s">
        <v>399</v>
      </c>
      <c r="T97" s="54" t="s">
        <v>178</v>
      </c>
      <c r="U97" s="113" t="s">
        <v>178</v>
      </c>
      <c r="V97" s="90" t="s">
        <v>1075</v>
      </c>
      <c r="W97" s="90" t="s">
        <v>1217</v>
      </c>
      <c r="X97" s="90" t="s">
        <v>178</v>
      </c>
      <c r="Y97" s="90"/>
      <c r="Z97" s="54" t="s">
        <v>443</v>
      </c>
      <c r="AA97" s="54"/>
      <c r="AB97" s="54">
        <v>2012</v>
      </c>
      <c r="AC97" s="92">
        <v>9.919044892561983</v>
      </c>
      <c r="AD97" s="54" t="s">
        <v>178</v>
      </c>
      <c r="AE97" s="54"/>
    </row>
    <row r="98" spans="1:31" x14ac:dyDescent="0.3">
      <c r="A98" s="54" t="s">
        <v>582</v>
      </c>
      <c r="B98" s="54">
        <v>2313</v>
      </c>
      <c r="C98" s="54" t="s">
        <v>427</v>
      </c>
      <c r="D98" s="54" t="s">
        <v>178</v>
      </c>
      <c r="E98" s="54" t="s">
        <v>307</v>
      </c>
      <c r="F98" s="54" t="s">
        <v>62</v>
      </c>
      <c r="G98" s="54" t="s">
        <v>375</v>
      </c>
      <c r="H98" s="54" t="s">
        <v>108</v>
      </c>
      <c r="I98" s="54" t="s">
        <v>2</v>
      </c>
      <c r="J98" s="90" t="s">
        <v>958</v>
      </c>
      <c r="K98" s="90" t="s">
        <v>76</v>
      </c>
      <c r="L98" s="92">
        <v>224.84653075761219</v>
      </c>
      <c r="M98" s="92" t="s">
        <v>114</v>
      </c>
      <c r="N98" s="54" t="s">
        <v>103</v>
      </c>
      <c r="O98" s="92">
        <v>14.090909090909092</v>
      </c>
      <c r="P98" s="84" t="s">
        <v>399</v>
      </c>
      <c r="Q98" s="84" t="s">
        <v>399</v>
      </c>
      <c r="R98" s="54" t="s">
        <v>335</v>
      </c>
      <c r="S98" s="90" t="s">
        <v>399</v>
      </c>
      <c r="T98" s="54" t="s">
        <v>178</v>
      </c>
      <c r="U98" s="113" t="s">
        <v>178</v>
      </c>
      <c r="V98" s="90" t="s">
        <v>1076</v>
      </c>
      <c r="W98" s="90" t="s">
        <v>1218</v>
      </c>
      <c r="X98" s="90" t="s">
        <v>178</v>
      </c>
      <c r="Y98" s="90"/>
      <c r="Z98" s="54" t="s">
        <v>443</v>
      </c>
      <c r="AA98" s="54"/>
      <c r="AB98" s="54">
        <v>2012</v>
      </c>
      <c r="AC98" s="92">
        <v>9.919044892561983</v>
      </c>
      <c r="AD98" s="54" t="s">
        <v>178</v>
      </c>
      <c r="AE98" s="54"/>
    </row>
    <row r="99" spans="1:31" x14ac:dyDescent="0.3">
      <c r="A99" s="54" t="s">
        <v>582</v>
      </c>
      <c r="B99" s="54">
        <v>2314</v>
      </c>
      <c r="C99" s="54" t="s">
        <v>427</v>
      </c>
      <c r="D99" s="54" t="s">
        <v>178</v>
      </c>
      <c r="E99" s="54" t="s">
        <v>308</v>
      </c>
      <c r="F99" s="54" t="s">
        <v>62</v>
      </c>
      <c r="G99" s="54" t="s">
        <v>376</v>
      </c>
      <c r="H99" s="54" t="s">
        <v>108</v>
      </c>
      <c r="I99" s="54" t="s">
        <v>2</v>
      </c>
      <c r="J99" s="90" t="s">
        <v>958</v>
      </c>
      <c r="K99" s="90" t="s">
        <v>76</v>
      </c>
      <c r="L99" s="92">
        <v>224.84653075761219</v>
      </c>
      <c r="M99" s="92" t="s">
        <v>114</v>
      </c>
      <c r="N99" s="54" t="s">
        <v>103</v>
      </c>
      <c r="O99" s="92">
        <v>14.090909090909092</v>
      </c>
      <c r="P99" s="84" t="s">
        <v>399</v>
      </c>
      <c r="Q99" s="84" t="s">
        <v>399</v>
      </c>
      <c r="R99" s="54" t="s">
        <v>335</v>
      </c>
      <c r="S99" s="90" t="s">
        <v>399</v>
      </c>
      <c r="T99" s="54" t="s">
        <v>178</v>
      </c>
      <c r="U99" s="113" t="s">
        <v>178</v>
      </c>
      <c r="V99" s="90" t="s">
        <v>1077</v>
      </c>
      <c r="W99" s="90" t="s">
        <v>1219</v>
      </c>
      <c r="X99" s="90" t="s">
        <v>178</v>
      </c>
      <c r="Y99" s="90"/>
      <c r="Z99" s="54" t="s">
        <v>443</v>
      </c>
      <c r="AA99" s="54"/>
      <c r="AB99" s="54">
        <v>2012</v>
      </c>
      <c r="AC99" s="92">
        <v>9.919044892561983</v>
      </c>
      <c r="AD99" s="54" t="s">
        <v>178</v>
      </c>
      <c r="AE99" s="54"/>
    </row>
    <row r="100" spans="1:31" x14ac:dyDescent="0.3">
      <c r="A100" s="54" t="s">
        <v>582</v>
      </c>
      <c r="B100" s="54">
        <v>2315</v>
      </c>
      <c r="C100" s="54" t="s">
        <v>427</v>
      </c>
      <c r="D100" s="54" t="s">
        <v>178</v>
      </c>
      <c r="E100" s="54" t="s">
        <v>309</v>
      </c>
      <c r="F100" s="54" t="s">
        <v>504</v>
      </c>
      <c r="G100" s="54" t="s">
        <v>377</v>
      </c>
      <c r="H100" s="54" t="s">
        <v>108</v>
      </c>
      <c r="I100" s="54" t="s">
        <v>2</v>
      </c>
      <c r="J100" s="90" t="s">
        <v>962</v>
      </c>
      <c r="K100" s="90" t="s">
        <v>76</v>
      </c>
      <c r="L100" s="92">
        <v>35.651003505985756</v>
      </c>
      <c r="M100" s="92">
        <v>10.49469663351112</v>
      </c>
      <c r="N100" s="54" t="s">
        <v>103</v>
      </c>
      <c r="O100" s="92">
        <v>20</v>
      </c>
      <c r="P100" s="84" t="s">
        <v>399</v>
      </c>
      <c r="Q100" s="84" t="s">
        <v>399</v>
      </c>
      <c r="R100" s="54" t="s">
        <v>335</v>
      </c>
      <c r="S100" s="90" t="s">
        <v>399</v>
      </c>
      <c r="T100" s="54" t="s">
        <v>178</v>
      </c>
      <c r="U100" s="113" t="s">
        <v>178</v>
      </c>
      <c r="V100" s="90" t="s">
        <v>1078</v>
      </c>
      <c r="W100" s="90" t="s">
        <v>1220</v>
      </c>
      <c r="X100" s="90" t="s">
        <v>178</v>
      </c>
      <c r="Y100" s="90"/>
      <c r="Z100" s="54" t="s">
        <v>443</v>
      </c>
      <c r="AA100" s="54"/>
      <c r="AB100" s="54">
        <v>2012</v>
      </c>
      <c r="AC100" s="92">
        <v>17.327214400000003</v>
      </c>
      <c r="AD100" s="54" t="s">
        <v>178</v>
      </c>
      <c r="AE100" s="54"/>
    </row>
    <row r="101" spans="1:31" x14ac:dyDescent="0.3">
      <c r="A101" s="54" t="s">
        <v>582</v>
      </c>
      <c r="B101" s="54">
        <v>2316</v>
      </c>
      <c r="C101" s="54" t="s">
        <v>427</v>
      </c>
      <c r="D101" s="54" t="s">
        <v>178</v>
      </c>
      <c r="E101" s="54" t="s">
        <v>310</v>
      </c>
      <c r="F101" s="54" t="s">
        <v>504</v>
      </c>
      <c r="G101" s="54" t="s">
        <v>378</v>
      </c>
      <c r="H101" s="54" t="s">
        <v>108</v>
      </c>
      <c r="I101" s="54" t="s">
        <v>2</v>
      </c>
      <c r="J101" s="90" t="s">
        <v>962</v>
      </c>
      <c r="K101" s="90" t="s">
        <v>76</v>
      </c>
      <c r="L101" s="92">
        <v>43.810534831474435</v>
      </c>
      <c r="M101" s="92">
        <v>12.055807936960472</v>
      </c>
      <c r="N101" s="54" t="s">
        <v>103</v>
      </c>
      <c r="O101" s="92">
        <v>20</v>
      </c>
      <c r="P101" s="84" t="s">
        <v>399</v>
      </c>
      <c r="Q101" s="84" t="s">
        <v>399</v>
      </c>
      <c r="R101" s="54" t="s">
        <v>335</v>
      </c>
      <c r="S101" s="90" t="s">
        <v>399</v>
      </c>
      <c r="T101" s="54" t="s">
        <v>178</v>
      </c>
      <c r="U101" s="113" t="s">
        <v>178</v>
      </c>
      <c r="V101" s="90" t="s">
        <v>1079</v>
      </c>
      <c r="W101" s="90" t="s">
        <v>1221</v>
      </c>
      <c r="X101" s="90" t="s">
        <v>178</v>
      </c>
      <c r="Y101" s="90"/>
      <c r="Z101" s="54" t="s">
        <v>443</v>
      </c>
      <c r="AA101" s="54"/>
      <c r="AB101" s="54">
        <v>2012</v>
      </c>
      <c r="AC101" s="92">
        <v>21.318823999999999</v>
      </c>
      <c r="AD101" s="54" t="s">
        <v>178</v>
      </c>
      <c r="AE101" s="54"/>
    </row>
    <row r="102" spans="1:31" x14ac:dyDescent="0.3">
      <c r="A102" s="54" t="s">
        <v>582</v>
      </c>
      <c r="B102" s="54">
        <v>2295</v>
      </c>
      <c r="C102" s="54" t="s">
        <v>427</v>
      </c>
      <c r="D102" s="54" t="s">
        <v>178</v>
      </c>
      <c r="E102" s="54" t="s">
        <v>311</v>
      </c>
      <c r="F102" s="54" t="s">
        <v>504</v>
      </c>
      <c r="G102" s="54" t="s">
        <v>379</v>
      </c>
      <c r="H102" s="54" t="s">
        <v>108</v>
      </c>
      <c r="I102" s="54" t="s">
        <v>2</v>
      </c>
      <c r="J102" s="90" t="s">
        <v>962</v>
      </c>
      <c r="K102" s="90" t="s">
        <v>76</v>
      </c>
      <c r="L102" s="92">
        <v>66.746317747412149</v>
      </c>
      <c r="M102" s="92">
        <v>18.070019982309514</v>
      </c>
      <c r="N102" s="54" t="s">
        <v>103</v>
      </c>
      <c r="O102" s="92">
        <v>20</v>
      </c>
      <c r="P102" s="84" t="s">
        <v>399</v>
      </c>
      <c r="Q102" s="84" t="s">
        <v>399</v>
      </c>
      <c r="R102" s="54" t="s">
        <v>335</v>
      </c>
      <c r="S102" s="90" t="s">
        <v>399</v>
      </c>
      <c r="T102" s="54" t="s">
        <v>178</v>
      </c>
      <c r="U102" s="113" t="s">
        <v>178</v>
      </c>
      <c r="V102" s="90" t="s">
        <v>1080</v>
      </c>
      <c r="W102" s="90" t="s">
        <v>1222</v>
      </c>
      <c r="X102" s="90" t="s">
        <v>178</v>
      </c>
      <c r="Y102" s="90"/>
      <c r="Z102" s="54" t="s">
        <v>443</v>
      </c>
      <c r="AA102" s="54"/>
      <c r="AB102" s="54">
        <v>2012</v>
      </c>
      <c r="AC102" s="92">
        <v>32.422756159999999</v>
      </c>
      <c r="AD102" s="54" t="s">
        <v>178</v>
      </c>
      <c r="AE102" s="54"/>
    </row>
    <row r="103" spans="1:31" x14ac:dyDescent="0.3">
      <c r="A103" s="54" t="s">
        <v>582</v>
      </c>
      <c r="B103" s="54">
        <v>2359</v>
      </c>
      <c r="C103" s="54" t="s">
        <v>427</v>
      </c>
      <c r="D103" s="54" t="s">
        <v>178</v>
      </c>
      <c r="E103" s="54" t="s">
        <v>312</v>
      </c>
      <c r="F103" s="54" t="s">
        <v>504</v>
      </c>
      <c r="G103" s="54" t="s">
        <v>380</v>
      </c>
      <c r="H103" s="54" t="s">
        <v>108</v>
      </c>
      <c r="I103" s="54" t="s">
        <v>2</v>
      </c>
      <c r="J103" s="90" t="s">
        <v>962</v>
      </c>
      <c r="K103" s="90" t="s">
        <v>76</v>
      </c>
      <c r="L103" s="92">
        <v>100.52890256119154</v>
      </c>
      <c r="M103" s="92">
        <v>27.222838529015942</v>
      </c>
      <c r="N103" s="54" t="s">
        <v>103</v>
      </c>
      <c r="O103" s="92">
        <v>20</v>
      </c>
      <c r="P103" s="84" t="s">
        <v>399</v>
      </c>
      <c r="Q103" s="84" t="s">
        <v>399</v>
      </c>
      <c r="R103" s="54" t="s">
        <v>335</v>
      </c>
      <c r="S103" s="90" t="s">
        <v>399</v>
      </c>
      <c r="T103" s="54" t="s">
        <v>178</v>
      </c>
      <c r="U103" s="113" t="s">
        <v>178</v>
      </c>
      <c r="V103" s="90" t="s">
        <v>1081</v>
      </c>
      <c r="W103" s="90" t="s">
        <v>1223</v>
      </c>
      <c r="X103" s="90" t="s">
        <v>178</v>
      </c>
      <c r="Y103" s="90"/>
      <c r="Z103" s="54" t="s">
        <v>443</v>
      </c>
      <c r="AA103" s="54"/>
      <c r="AB103" s="54">
        <v>2012</v>
      </c>
      <c r="AC103" s="92">
        <v>48.829178800000001</v>
      </c>
      <c r="AD103" s="54" t="s">
        <v>178</v>
      </c>
      <c r="AE103" s="54"/>
    </row>
    <row r="104" spans="1:31" ht="26.4" x14ac:dyDescent="0.3">
      <c r="A104" s="54" t="s">
        <v>582</v>
      </c>
      <c r="B104" s="91">
        <v>4367</v>
      </c>
      <c r="C104" s="54" t="s">
        <v>427</v>
      </c>
      <c r="D104" s="54" t="s">
        <v>178</v>
      </c>
      <c r="E104" s="54" t="s">
        <v>428</v>
      </c>
      <c r="F104" s="54" t="s">
        <v>430</v>
      </c>
      <c r="G104" s="54" t="s">
        <v>796</v>
      </c>
      <c r="H104" s="54" t="s">
        <v>106</v>
      </c>
      <c r="I104" s="54" t="s">
        <v>2</v>
      </c>
      <c r="J104" s="90" t="s">
        <v>399</v>
      </c>
      <c r="K104" s="90" t="s">
        <v>794</v>
      </c>
      <c r="L104" s="92" t="s">
        <v>178</v>
      </c>
      <c r="M104" s="92" t="s">
        <v>178</v>
      </c>
      <c r="N104" s="54" t="s">
        <v>103</v>
      </c>
      <c r="O104" s="54" t="s">
        <v>399</v>
      </c>
      <c r="P104" s="84" t="s">
        <v>399</v>
      </c>
      <c r="Q104" s="84" t="s">
        <v>399</v>
      </c>
      <c r="R104" s="54" t="s">
        <v>432</v>
      </c>
      <c r="S104" s="90" t="s">
        <v>399</v>
      </c>
      <c r="T104" s="54" t="s">
        <v>178</v>
      </c>
      <c r="U104" s="113" t="s">
        <v>178</v>
      </c>
      <c r="V104" s="90" t="s">
        <v>1082</v>
      </c>
      <c r="W104" s="90" t="s">
        <v>1224</v>
      </c>
      <c r="X104" s="90" t="s">
        <v>178</v>
      </c>
      <c r="Y104" s="90"/>
      <c r="Z104" s="54" t="s">
        <v>443</v>
      </c>
      <c r="AA104" s="54" t="s">
        <v>2</v>
      </c>
      <c r="AB104" s="54">
        <v>2018</v>
      </c>
      <c r="AC104" s="54" t="s">
        <v>399</v>
      </c>
      <c r="AD104" s="54" t="s">
        <v>399</v>
      </c>
      <c r="AE104" s="54"/>
    </row>
    <row r="105" spans="1:31" ht="26.4" x14ac:dyDescent="0.3">
      <c r="A105" s="54" t="s">
        <v>582</v>
      </c>
      <c r="B105" s="91">
        <v>4368</v>
      </c>
      <c r="C105" s="54" t="s">
        <v>427</v>
      </c>
      <c r="D105" s="54" t="s">
        <v>178</v>
      </c>
      <c r="E105" s="54" t="s">
        <v>429</v>
      </c>
      <c r="F105" s="54" t="s">
        <v>430</v>
      </c>
      <c r="G105" s="54" t="s">
        <v>795</v>
      </c>
      <c r="H105" s="54" t="s">
        <v>431</v>
      </c>
      <c r="I105" s="54" t="s">
        <v>322</v>
      </c>
      <c r="J105" s="61" t="s">
        <v>794</v>
      </c>
      <c r="K105" s="90" t="s">
        <v>798</v>
      </c>
      <c r="L105" s="92" t="s">
        <v>178</v>
      </c>
      <c r="M105" s="92" t="s">
        <v>178</v>
      </c>
      <c r="N105" s="54" t="s">
        <v>103</v>
      </c>
      <c r="O105" s="54" t="s">
        <v>399</v>
      </c>
      <c r="P105" s="84" t="s">
        <v>399</v>
      </c>
      <c r="Q105" s="84" t="s">
        <v>399</v>
      </c>
      <c r="R105" s="54" t="s">
        <v>432</v>
      </c>
      <c r="S105" s="90" t="s">
        <v>399</v>
      </c>
      <c r="T105" s="54" t="s">
        <v>178</v>
      </c>
      <c r="U105" s="113" t="s">
        <v>178</v>
      </c>
      <c r="V105" s="90" t="s">
        <v>1083</v>
      </c>
      <c r="W105" s="90" t="s">
        <v>1225</v>
      </c>
      <c r="X105" s="90" t="s">
        <v>178</v>
      </c>
      <c r="Y105" s="90"/>
      <c r="Z105" s="54" t="s">
        <v>443</v>
      </c>
      <c r="AA105" s="54" t="s">
        <v>322</v>
      </c>
      <c r="AB105" s="54">
        <v>2018</v>
      </c>
      <c r="AC105" s="54" t="s">
        <v>399</v>
      </c>
      <c r="AD105" s="54" t="s">
        <v>399</v>
      </c>
      <c r="AE105" s="54"/>
    </row>
    <row r="106" spans="1:31" ht="26.4" x14ac:dyDescent="0.3">
      <c r="A106" s="54" t="s">
        <v>582</v>
      </c>
      <c r="B106" s="94">
        <v>4849</v>
      </c>
      <c r="C106" s="94" t="s">
        <v>427</v>
      </c>
      <c r="D106" s="94" t="s">
        <v>178</v>
      </c>
      <c r="E106" s="94" t="s">
        <v>560</v>
      </c>
      <c r="F106" s="94" t="s">
        <v>561</v>
      </c>
      <c r="G106" s="94" t="s">
        <v>797</v>
      </c>
      <c r="H106" s="94" t="s">
        <v>233</v>
      </c>
      <c r="I106" s="94" t="s">
        <v>322</v>
      </c>
      <c r="J106" s="150" t="s">
        <v>860</v>
      </c>
      <c r="K106" s="95" t="s">
        <v>798</v>
      </c>
      <c r="L106" s="96" t="s">
        <v>178</v>
      </c>
      <c r="M106" s="96" t="s">
        <v>178</v>
      </c>
      <c r="N106" s="54" t="s">
        <v>103</v>
      </c>
      <c r="O106" s="94" t="s">
        <v>399</v>
      </c>
      <c r="P106" s="97" t="s">
        <v>399</v>
      </c>
      <c r="Q106" s="97" t="s">
        <v>399</v>
      </c>
      <c r="R106" s="94" t="s">
        <v>562</v>
      </c>
      <c r="S106" s="95" t="s">
        <v>399</v>
      </c>
      <c r="T106" s="94" t="s">
        <v>178</v>
      </c>
      <c r="U106" s="113" t="s">
        <v>178</v>
      </c>
      <c r="V106" s="90" t="s">
        <v>1084</v>
      </c>
      <c r="W106" s="90" t="s">
        <v>1226</v>
      </c>
      <c r="X106" s="90" t="s">
        <v>178</v>
      </c>
      <c r="Y106" s="95"/>
      <c r="Z106" s="94" t="s">
        <v>443</v>
      </c>
      <c r="AA106" s="94" t="s">
        <v>322</v>
      </c>
      <c r="AB106" s="94">
        <v>2019</v>
      </c>
      <c r="AC106" s="96" t="s">
        <v>178</v>
      </c>
      <c r="AD106" s="94" t="s">
        <v>178</v>
      </c>
      <c r="AE106" s="54"/>
    </row>
    <row r="107" spans="1:31" ht="26.4" x14ac:dyDescent="0.3">
      <c r="A107" s="54" t="s">
        <v>582</v>
      </c>
      <c r="B107" s="54">
        <v>4850</v>
      </c>
      <c r="C107" s="54" t="s">
        <v>427</v>
      </c>
      <c r="D107" s="54" t="s">
        <v>178</v>
      </c>
      <c r="E107" s="54" t="s">
        <v>563</v>
      </c>
      <c r="F107" s="54" t="s">
        <v>564</v>
      </c>
      <c r="G107" s="54" t="s">
        <v>586</v>
      </c>
      <c r="H107" s="54" t="s">
        <v>108</v>
      </c>
      <c r="I107" s="59" t="s">
        <v>2</v>
      </c>
      <c r="J107" s="61" t="s">
        <v>794</v>
      </c>
      <c r="K107" s="90" t="s">
        <v>798</v>
      </c>
      <c r="L107" s="92" t="s">
        <v>114</v>
      </c>
      <c r="M107" s="92" t="s">
        <v>114</v>
      </c>
      <c r="N107" s="54" t="s">
        <v>763</v>
      </c>
      <c r="O107" s="54" t="s">
        <v>399</v>
      </c>
      <c r="P107" s="84" t="s">
        <v>399</v>
      </c>
      <c r="Q107" s="84" t="s">
        <v>399</v>
      </c>
      <c r="R107" s="54" t="s">
        <v>59</v>
      </c>
      <c r="S107" s="90" t="s">
        <v>399</v>
      </c>
      <c r="T107" s="54" t="s">
        <v>178</v>
      </c>
      <c r="U107" s="113" t="s">
        <v>399</v>
      </c>
      <c r="V107" s="90" t="s">
        <v>1085</v>
      </c>
      <c r="W107" s="90" t="s">
        <v>1227</v>
      </c>
      <c r="X107" s="90" t="s">
        <v>178</v>
      </c>
      <c r="Y107" s="90"/>
      <c r="Z107" s="54" t="s">
        <v>443</v>
      </c>
      <c r="AA107" s="54" t="s">
        <v>322</v>
      </c>
      <c r="AB107" s="54">
        <v>2019</v>
      </c>
      <c r="AC107" s="92" t="s">
        <v>178</v>
      </c>
      <c r="AD107" s="54" t="s">
        <v>178</v>
      </c>
      <c r="AE107" s="54"/>
    </row>
    <row r="108" spans="1:31" ht="26.4" x14ac:dyDescent="0.3">
      <c r="A108" s="54" t="s">
        <v>582</v>
      </c>
      <c r="B108" s="93">
        <v>4851</v>
      </c>
      <c r="C108" s="93" t="s">
        <v>427</v>
      </c>
      <c r="D108" s="93" t="s">
        <v>178</v>
      </c>
      <c r="E108" s="93" t="s">
        <v>565</v>
      </c>
      <c r="F108" s="93" t="s">
        <v>566</v>
      </c>
      <c r="G108" s="93" t="s">
        <v>586</v>
      </c>
      <c r="H108" s="93" t="s">
        <v>108</v>
      </c>
      <c r="I108" s="93" t="s">
        <v>322</v>
      </c>
      <c r="J108" s="151" t="s">
        <v>949</v>
      </c>
      <c r="K108" s="98" t="s">
        <v>952</v>
      </c>
      <c r="L108" s="99" t="s">
        <v>114</v>
      </c>
      <c r="M108" s="99" t="s">
        <v>114</v>
      </c>
      <c r="N108" s="93" t="s">
        <v>763</v>
      </c>
      <c r="O108" s="93" t="s">
        <v>399</v>
      </c>
      <c r="P108" s="100" t="s">
        <v>399</v>
      </c>
      <c r="Q108" s="100" t="s">
        <v>399</v>
      </c>
      <c r="R108" s="93" t="s">
        <v>59</v>
      </c>
      <c r="S108" s="98" t="s">
        <v>399</v>
      </c>
      <c r="T108" s="93" t="s">
        <v>178</v>
      </c>
      <c r="U108" s="113" t="s">
        <v>178</v>
      </c>
      <c r="V108" s="180" t="s">
        <v>1086</v>
      </c>
      <c r="W108" s="180" t="s">
        <v>1228</v>
      </c>
      <c r="X108" s="90" t="s">
        <v>178</v>
      </c>
      <c r="Y108" s="98"/>
      <c r="Z108" s="93" t="s">
        <v>443</v>
      </c>
      <c r="AA108" s="93" t="s">
        <v>322</v>
      </c>
      <c r="AB108" s="93">
        <v>2019</v>
      </c>
      <c r="AC108" s="99" t="s">
        <v>178</v>
      </c>
      <c r="AD108" s="93" t="s">
        <v>178</v>
      </c>
      <c r="AE108" s="54"/>
    </row>
    <row r="109" spans="1:31" ht="26.4" x14ac:dyDescent="0.3">
      <c r="A109" s="54" t="s">
        <v>582</v>
      </c>
      <c r="B109" s="54">
        <v>5202</v>
      </c>
      <c r="C109" s="54" t="s">
        <v>427</v>
      </c>
      <c r="D109" s="54" t="s">
        <v>28</v>
      </c>
      <c r="E109" s="54" t="s">
        <v>669</v>
      </c>
      <c r="F109" s="54" t="s">
        <v>670</v>
      </c>
      <c r="G109" s="54" t="s">
        <v>671</v>
      </c>
      <c r="H109" s="54" t="s">
        <v>721</v>
      </c>
      <c r="I109" s="54" t="s">
        <v>2</v>
      </c>
      <c r="J109" s="90" t="s">
        <v>399</v>
      </c>
      <c r="K109" s="102" t="s">
        <v>793</v>
      </c>
      <c r="L109" s="92">
        <v>718.12984314480002</v>
      </c>
      <c r="M109" s="92">
        <v>134.12577845138</v>
      </c>
      <c r="N109" s="93" t="s">
        <v>103</v>
      </c>
      <c r="O109" s="92">
        <v>114.3</v>
      </c>
      <c r="P109" s="49">
        <v>1799539</v>
      </c>
      <c r="Q109" s="49">
        <v>70260</v>
      </c>
      <c r="R109" s="54" t="s">
        <v>338</v>
      </c>
      <c r="S109" s="90" t="s">
        <v>987</v>
      </c>
      <c r="T109" s="54" t="s">
        <v>178</v>
      </c>
      <c r="U109" s="113" t="s">
        <v>399</v>
      </c>
      <c r="V109" s="90" t="s">
        <v>1087</v>
      </c>
      <c r="W109" s="90" t="s">
        <v>1229</v>
      </c>
      <c r="X109" s="90" t="s">
        <v>178</v>
      </c>
      <c r="Y109" s="90"/>
      <c r="Z109" s="54" t="s">
        <v>443</v>
      </c>
      <c r="AA109" s="54"/>
      <c r="AB109" s="54">
        <v>2019</v>
      </c>
      <c r="AC109" s="92" t="s">
        <v>178</v>
      </c>
      <c r="AD109" s="54" t="s">
        <v>178</v>
      </c>
      <c r="AE109" s="54">
        <v>5</v>
      </c>
    </row>
    <row r="110" spans="1:31" ht="26.4" x14ac:dyDescent="0.3">
      <c r="A110" s="54" t="s">
        <v>582</v>
      </c>
      <c r="B110" s="54">
        <v>5203</v>
      </c>
      <c r="C110" s="54" t="s">
        <v>672</v>
      </c>
      <c r="D110" s="54" t="s">
        <v>722</v>
      </c>
      <c r="E110" s="54" t="s">
        <v>673</v>
      </c>
      <c r="F110" s="54" t="s">
        <v>602</v>
      </c>
      <c r="G110" s="54" t="s">
        <v>603</v>
      </c>
      <c r="H110" s="54" t="s">
        <v>12</v>
      </c>
      <c r="I110" s="54" t="s">
        <v>118</v>
      </c>
      <c r="J110" s="61" t="s">
        <v>798</v>
      </c>
      <c r="K110" s="90" t="s">
        <v>178</v>
      </c>
      <c r="L110" s="92" t="s">
        <v>178</v>
      </c>
      <c r="M110" s="92" t="s">
        <v>178</v>
      </c>
      <c r="N110" s="93" t="s">
        <v>762</v>
      </c>
      <c r="O110" s="92" t="s">
        <v>178</v>
      </c>
      <c r="P110" s="119">
        <v>500</v>
      </c>
      <c r="Q110" s="49" t="s">
        <v>178</v>
      </c>
      <c r="R110" s="54" t="s">
        <v>672</v>
      </c>
      <c r="S110" s="61" t="s">
        <v>974</v>
      </c>
      <c r="T110" s="54" t="s">
        <v>178</v>
      </c>
      <c r="U110" s="113" t="s">
        <v>178</v>
      </c>
      <c r="V110" s="61" t="s">
        <v>1088</v>
      </c>
      <c r="W110" s="61" t="s">
        <v>1230</v>
      </c>
      <c r="X110" s="90" t="s">
        <v>178</v>
      </c>
      <c r="Y110" s="90"/>
      <c r="Z110" s="54" t="s">
        <v>446</v>
      </c>
      <c r="AA110" s="54"/>
      <c r="AB110" s="54">
        <v>2019</v>
      </c>
      <c r="AC110" s="92" t="s">
        <v>178</v>
      </c>
      <c r="AD110" s="54" t="s">
        <v>178</v>
      </c>
      <c r="AE110" s="54"/>
    </row>
    <row r="111" spans="1:31" ht="26.4" x14ac:dyDescent="0.3">
      <c r="A111" s="54" t="s">
        <v>582</v>
      </c>
      <c r="B111" s="54">
        <v>5204</v>
      </c>
      <c r="C111" s="54" t="s">
        <v>672</v>
      </c>
      <c r="D111" s="54" t="s">
        <v>96</v>
      </c>
      <c r="E111" s="54" t="s">
        <v>674</v>
      </c>
      <c r="F111" s="54" t="s">
        <v>605</v>
      </c>
      <c r="G111" s="54" t="s">
        <v>606</v>
      </c>
      <c r="H111" s="54" t="s">
        <v>444</v>
      </c>
      <c r="I111" s="54" t="s">
        <v>118</v>
      </c>
      <c r="J111" s="61" t="s">
        <v>798</v>
      </c>
      <c r="K111" s="90" t="s">
        <v>178</v>
      </c>
      <c r="L111" s="92" t="s">
        <v>178</v>
      </c>
      <c r="M111" s="92" t="s">
        <v>178</v>
      </c>
      <c r="N111" s="93" t="s">
        <v>762</v>
      </c>
      <c r="O111" s="92" t="s">
        <v>178</v>
      </c>
      <c r="P111" s="119">
        <v>1000</v>
      </c>
      <c r="Q111" s="49" t="s">
        <v>178</v>
      </c>
      <c r="R111" s="54" t="s">
        <v>672</v>
      </c>
      <c r="S111" s="61" t="s">
        <v>975</v>
      </c>
      <c r="T111" s="54" t="s">
        <v>178</v>
      </c>
      <c r="U111" s="113" t="s">
        <v>178</v>
      </c>
      <c r="V111" s="61" t="s">
        <v>1088</v>
      </c>
      <c r="W111" s="61" t="s">
        <v>1230</v>
      </c>
      <c r="X111" s="90" t="s">
        <v>178</v>
      </c>
      <c r="Y111" s="90"/>
      <c r="Z111" s="54" t="s">
        <v>446</v>
      </c>
      <c r="AA111" s="54"/>
      <c r="AB111" s="54">
        <v>2019</v>
      </c>
      <c r="AC111" s="92" t="s">
        <v>178</v>
      </c>
      <c r="AD111" s="54" t="s">
        <v>178</v>
      </c>
      <c r="AE111" s="54"/>
    </row>
    <row r="112" spans="1:31" ht="26.4" x14ac:dyDescent="0.3">
      <c r="A112" s="54" t="s">
        <v>582</v>
      </c>
      <c r="B112" s="54">
        <v>5205</v>
      </c>
      <c r="C112" s="54" t="s">
        <v>672</v>
      </c>
      <c r="D112" s="54" t="s">
        <v>178</v>
      </c>
      <c r="E112" s="54" t="s">
        <v>675</v>
      </c>
      <c r="F112" s="54" t="s">
        <v>608</v>
      </c>
      <c r="G112" s="146" t="s">
        <v>926</v>
      </c>
      <c r="H112" s="54" t="s">
        <v>107</v>
      </c>
      <c r="I112" s="54" t="s">
        <v>2</v>
      </c>
      <c r="J112" s="61" t="s">
        <v>798</v>
      </c>
      <c r="K112" s="102" t="s">
        <v>798</v>
      </c>
      <c r="L112" s="92" t="s">
        <v>178</v>
      </c>
      <c r="M112" s="92" t="s">
        <v>178</v>
      </c>
      <c r="N112" s="93" t="s">
        <v>762</v>
      </c>
      <c r="O112" s="92" t="s">
        <v>178</v>
      </c>
      <c r="P112" s="119">
        <v>0</v>
      </c>
      <c r="Q112" s="49" t="s">
        <v>178</v>
      </c>
      <c r="R112" s="54" t="s">
        <v>672</v>
      </c>
      <c r="S112" s="149" t="s">
        <v>178</v>
      </c>
      <c r="T112" s="54" t="s">
        <v>178</v>
      </c>
      <c r="U112" s="113" t="s">
        <v>178</v>
      </c>
      <c r="V112" s="61" t="s">
        <v>1089</v>
      </c>
      <c r="W112" s="61" t="s">
        <v>1231</v>
      </c>
      <c r="X112" s="90" t="s">
        <v>178</v>
      </c>
      <c r="Y112" s="90"/>
      <c r="Z112" s="54" t="s">
        <v>446</v>
      </c>
      <c r="AA112" s="54"/>
      <c r="AB112" s="54">
        <v>2019</v>
      </c>
      <c r="AC112" s="92" t="s">
        <v>178</v>
      </c>
      <c r="AD112" s="54" t="s">
        <v>178</v>
      </c>
      <c r="AE112" s="54"/>
    </row>
    <row r="113" spans="1:31" ht="26.4" x14ac:dyDescent="0.3">
      <c r="A113" s="54" t="s">
        <v>582</v>
      </c>
      <c r="B113" s="54">
        <v>5206</v>
      </c>
      <c r="C113" s="54" t="s">
        <v>672</v>
      </c>
      <c r="D113" s="54" t="s">
        <v>178</v>
      </c>
      <c r="E113" s="54" t="s">
        <v>676</v>
      </c>
      <c r="F113" s="54" t="s">
        <v>666</v>
      </c>
      <c r="G113" s="54" t="s">
        <v>677</v>
      </c>
      <c r="H113" s="54" t="s">
        <v>106</v>
      </c>
      <c r="I113" s="54" t="s">
        <v>118</v>
      </c>
      <c r="J113" s="61" t="s">
        <v>950</v>
      </c>
      <c r="K113" s="90" t="s">
        <v>114</v>
      </c>
      <c r="L113" s="92" t="s">
        <v>178</v>
      </c>
      <c r="M113" s="92" t="s">
        <v>178</v>
      </c>
      <c r="N113" s="54" t="s">
        <v>762</v>
      </c>
      <c r="O113" s="92" t="s">
        <v>178</v>
      </c>
      <c r="P113" s="119">
        <v>15000</v>
      </c>
      <c r="Q113" s="49" t="s">
        <v>178</v>
      </c>
      <c r="R113" s="54" t="s">
        <v>672</v>
      </c>
      <c r="S113" s="61" t="s">
        <v>988</v>
      </c>
      <c r="T113" s="54" t="s">
        <v>178</v>
      </c>
      <c r="U113" s="113" t="s">
        <v>178</v>
      </c>
      <c r="V113" s="61" t="s">
        <v>1089</v>
      </c>
      <c r="W113" s="61" t="s">
        <v>1231</v>
      </c>
      <c r="X113" s="90" t="s">
        <v>178</v>
      </c>
      <c r="Y113" s="90"/>
      <c r="Z113" s="54" t="s">
        <v>443</v>
      </c>
      <c r="AA113" s="54"/>
      <c r="AB113" s="54">
        <v>2019</v>
      </c>
      <c r="AC113" s="92" t="s">
        <v>178</v>
      </c>
      <c r="AD113" s="54" t="s">
        <v>178</v>
      </c>
      <c r="AE113" s="54"/>
    </row>
    <row r="114" spans="1:31" ht="26.4" x14ac:dyDescent="0.3">
      <c r="A114" s="54" t="s">
        <v>582</v>
      </c>
      <c r="B114" s="54">
        <v>5207</v>
      </c>
      <c r="C114" s="54" t="s">
        <v>672</v>
      </c>
      <c r="D114" s="54" t="s">
        <v>178</v>
      </c>
      <c r="E114" s="54" t="s">
        <v>678</v>
      </c>
      <c r="F114" s="54" t="s">
        <v>613</v>
      </c>
      <c r="G114" s="54" t="s">
        <v>614</v>
      </c>
      <c r="H114" s="54" t="s">
        <v>106</v>
      </c>
      <c r="I114" s="54" t="s">
        <v>1</v>
      </c>
      <c r="J114" s="61" t="s">
        <v>950</v>
      </c>
      <c r="K114" s="90" t="s">
        <v>178</v>
      </c>
      <c r="L114" s="92" t="s">
        <v>178</v>
      </c>
      <c r="M114" s="92" t="s">
        <v>178</v>
      </c>
      <c r="N114" s="54" t="s">
        <v>762</v>
      </c>
      <c r="O114" s="92" t="s">
        <v>178</v>
      </c>
      <c r="P114" s="119">
        <v>20000</v>
      </c>
      <c r="Q114" s="49" t="s">
        <v>178</v>
      </c>
      <c r="R114" s="54" t="s">
        <v>672</v>
      </c>
      <c r="S114" s="61" t="s">
        <v>980</v>
      </c>
      <c r="T114" s="54" t="s">
        <v>178</v>
      </c>
      <c r="U114" s="113" t="s">
        <v>178</v>
      </c>
      <c r="V114" s="61" t="s">
        <v>1090</v>
      </c>
      <c r="W114" s="61" t="s">
        <v>1232</v>
      </c>
      <c r="X114" s="90" t="s">
        <v>178</v>
      </c>
      <c r="Y114" s="90"/>
      <c r="Z114" s="54" t="s">
        <v>443</v>
      </c>
      <c r="AA114" s="54"/>
      <c r="AB114" s="54">
        <v>2019</v>
      </c>
      <c r="AC114" s="92" t="s">
        <v>178</v>
      </c>
      <c r="AD114" s="54" t="s">
        <v>178</v>
      </c>
      <c r="AE114" s="54"/>
    </row>
    <row r="115" spans="1:31" ht="26.4" x14ac:dyDescent="0.3">
      <c r="A115" s="54" t="s">
        <v>582</v>
      </c>
      <c r="B115" s="54">
        <v>2367</v>
      </c>
      <c r="C115" s="54" t="s">
        <v>78</v>
      </c>
      <c r="D115" s="54" t="s">
        <v>399</v>
      </c>
      <c r="E115" s="54" t="s">
        <v>149</v>
      </c>
      <c r="F115" s="54" t="s">
        <v>538</v>
      </c>
      <c r="G115" s="54" t="s">
        <v>89</v>
      </c>
      <c r="H115" s="54" t="s">
        <v>110</v>
      </c>
      <c r="I115" s="54" t="s">
        <v>2</v>
      </c>
      <c r="J115" s="90" t="s">
        <v>399</v>
      </c>
      <c r="K115" s="90" t="s">
        <v>76</v>
      </c>
      <c r="L115" s="92">
        <v>213.73085669413214</v>
      </c>
      <c r="M115" s="92">
        <v>26.776340056296988</v>
      </c>
      <c r="N115" s="54" t="s">
        <v>103</v>
      </c>
      <c r="O115" s="92">
        <v>124.6</v>
      </c>
      <c r="P115" s="84" t="s">
        <v>399</v>
      </c>
      <c r="Q115" s="84" t="s">
        <v>399</v>
      </c>
      <c r="R115" s="54" t="s">
        <v>399</v>
      </c>
      <c r="S115" s="90" t="s">
        <v>399</v>
      </c>
      <c r="T115" s="54" t="s">
        <v>178</v>
      </c>
      <c r="U115" s="113" t="s">
        <v>399</v>
      </c>
      <c r="V115" s="90" t="s">
        <v>1091</v>
      </c>
      <c r="W115" s="90" t="s">
        <v>1233</v>
      </c>
      <c r="X115" s="90" t="s">
        <v>178</v>
      </c>
      <c r="Y115" s="90"/>
      <c r="Z115" s="54" t="s">
        <v>443</v>
      </c>
      <c r="AA115" s="54" t="s">
        <v>2</v>
      </c>
      <c r="AB115" s="54">
        <v>2012</v>
      </c>
      <c r="AC115" s="92">
        <v>379.20291199999997</v>
      </c>
      <c r="AD115" s="54" t="s">
        <v>178</v>
      </c>
      <c r="AE115" s="54"/>
    </row>
    <row r="116" spans="1:31" x14ac:dyDescent="0.3">
      <c r="A116" s="54" t="s">
        <v>582</v>
      </c>
      <c r="B116" s="54">
        <v>2368</v>
      </c>
      <c r="C116" s="54" t="s">
        <v>78</v>
      </c>
      <c r="D116" s="54" t="s">
        <v>399</v>
      </c>
      <c r="E116" s="54" t="s">
        <v>150</v>
      </c>
      <c r="F116" s="54" t="s">
        <v>12</v>
      </c>
      <c r="G116" s="54" t="s">
        <v>79</v>
      </c>
      <c r="H116" s="54" t="s">
        <v>12</v>
      </c>
      <c r="I116" s="54" t="s">
        <v>1</v>
      </c>
      <c r="J116" s="90" t="s">
        <v>399</v>
      </c>
      <c r="K116" s="90" t="s">
        <v>178</v>
      </c>
      <c r="L116" s="92">
        <v>4652.174979774828</v>
      </c>
      <c r="M116" s="92">
        <v>1630.402357841793</v>
      </c>
      <c r="N116" s="54" t="s">
        <v>103</v>
      </c>
      <c r="O116" s="92" t="s">
        <v>178</v>
      </c>
      <c r="P116" s="84" t="s">
        <v>399</v>
      </c>
      <c r="Q116" s="84" t="s">
        <v>399</v>
      </c>
      <c r="R116" s="54" t="s">
        <v>399</v>
      </c>
      <c r="S116" s="90" t="s">
        <v>399</v>
      </c>
      <c r="T116" s="54" t="s">
        <v>178</v>
      </c>
      <c r="U116" s="113" t="s">
        <v>399</v>
      </c>
      <c r="V116" s="90" t="s">
        <v>399</v>
      </c>
      <c r="W116" s="90" t="s">
        <v>399</v>
      </c>
      <c r="X116" s="90" t="s">
        <v>178</v>
      </c>
      <c r="Y116" s="90"/>
      <c r="Z116" s="54" t="s">
        <v>446</v>
      </c>
      <c r="AA116" s="54" t="s">
        <v>1</v>
      </c>
      <c r="AB116" s="54">
        <v>2012</v>
      </c>
      <c r="AC116" s="92">
        <v>952.99679200000003</v>
      </c>
      <c r="AD116" s="54" t="s">
        <v>178</v>
      </c>
      <c r="AE116" s="54"/>
    </row>
    <row r="117" spans="1:31" ht="26.4" x14ac:dyDescent="0.3">
      <c r="A117" s="54" t="s">
        <v>582</v>
      </c>
      <c r="B117" s="54">
        <v>2369</v>
      </c>
      <c r="C117" s="54" t="s">
        <v>78</v>
      </c>
      <c r="D117" s="54" t="s">
        <v>399</v>
      </c>
      <c r="E117" s="54" t="s">
        <v>151</v>
      </c>
      <c r="F117" s="54" t="s">
        <v>539</v>
      </c>
      <c r="G117" s="54" t="s">
        <v>501</v>
      </c>
      <c r="H117" s="101" t="s">
        <v>403</v>
      </c>
      <c r="I117" s="54" t="s">
        <v>2</v>
      </c>
      <c r="J117" s="90" t="s">
        <v>399</v>
      </c>
      <c r="K117" s="90" t="s">
        <v>76</v>
      </c>
      <c r="L117" s="92" t="s">
        <v>114</v>
      </c>
      <c r="M117" s="92" t="s">
        <v>114</v>
      </c>
      <c r="N117" s="54" t="s">
        <v>103</v>
      </c>
      <c r="O117" s="92">
        <v>117.9</v>
      </c>
      <c r="P117" s="84" t="s">
        <v>399</v>
      </c>
      <c r="Q117" s="84" t="s">
        <v>399</v>
      </c>
      <c r="R117" s="54" t="s">
        <v>399</v>
      </c>
      <c r="S117" s="90" t="s">
        <v>399</v>
      </c>
      <c r="T117" s="54" t="s">
        <v>178</v>
      </c>
      <c r="U117" s="113" t="s">
        <v>399</v>
      </c>
      <c r="V117" s="181" t="s">
        <v>1092</v>
      </c>
      <c r="W117" s="181" t="s">
        <v>1234</v>
      </c>
      <c r="X117" s="90" t="s">
        <v>178</v>
      </c>
      <c r="Y117" s="90"/>
      <c r="Z117" s="54" t="s">
        <v>443</v>
      </c>
      <c r="AA117" s="54" t="s">
        <v>2</v>
      </c>
      <c r="AB117" s="54">
        <v>2012</v>
      </c>
      <c r="AC117" s="92">
        <v>18.14368</v>
      </c>
      <c r="AD117" s="54" t="s">
        <v>178</v>
      </c>
      <c r="AE117" s="54"/>
    </row>
    <row r="118" spans="1:31" ht="39.6" x14ac:dyDescent="0.3">
      <c r="A118" s="54" t="s">
        <v>582</v>
      </c>
      <c r="B118" s="54">
        <v>2370</v>
      </c>
      <c r="C118" s="54" t="s">
        <v>78</v>
      </c>
      <c r="D118" s="54" t="s">
        <v>399</v>
      </c>
      <c r="E118" s="54" t="s">
        <v>152</v>
      </c>
      <c r="F118" s="54" t="s">
        <v>289</v>
      </c>
      <c r="G118" s="146" t="s">
        <v>931</v>
      </c>
      <c r="H118" s="54" t="s">
        <v>106</v>
      </c>
      <c r="I118" s="54" t="s">
        <v>2</v>
      </c>
      <c r="J118" s="90" t="s">
        <v>399</v>
      </c>
      <c r="K118" s="90" t="s">
        <v>76</v>
      </c>
      <c r="L118" s="92">
        <v>485.94195997010848</v>
      </c>
      <c r="M118" s="92">
        <v>77.728824044765787</v>
      </c>
      <c r="N118" s="54" t="s">
        <v>103</v>
      </c>
      <c r="O118" s="92">
        <v>642.70000000000005</v>
      </c>
      <c r="P118" s="84" t="s">
        <v>399</v>
      </c>
      <c r="Q118" s="84" t="s">
        <v>399</v>
      </c>
      <c r="R118" s="54" t="s">
        <v>399</v>
      </c>
      <c r="S118" s="90" t="s">
        <v>399</v>
      </c>
      <c r="T118" s="54" t="s">
        <v>178</v>
      </c>
      <c r="U118" s="113" t="s">
        <v>399</v>
      </c>
      <c r="V118" s="90" t="s">
        <v>1093</v>
      </c>
      <c r="W118" s="90" t="s">
        <v>1235</v>
      </c>
      <c r="X118" s="90" t="s">
        <v>178</v>
      </c>
      <c r="Y118" s="90"/>
      <c r="Z118" s="54" t="s">
        <v>443</v>
      </c>
      <c r="AA118" s="54" t="s">
        <v>2</v>
      </c>
      <c r="AB118" s="54">
        <v>2012</v>
      </c>
      <c r="AC118" s="92">
        <v>488.97217599999999</v>
      </c>
      <c r="AD118" s="54" t="s">
        <v>178</v>
      </c>
      <c r="AE118" s="54"/>
    </row>
    <row r="119" spans="1:31" ht="39.6" x14ac:dyDescent="0.3">
      <c r="A119" s="54" t="s">
        <v>582</v>
      </c>
      <c r="B119" s="54">
        <v>2371</v>
      </c>
      <c r="C119" s="54" t="s">
        <v>78</v>
      </c>
      <c r="D119" s="54" t="s">
        <v>399</v>
      </c>
      <c r="E119" s="54" t="s">
        <v>153</v>
      </c>
      <c r="F119" s="54" t="s">
        <v>290</v>
      </c>
      <c r="G119" s="54" t="s">
        <v>919</v>
      </c>
      <c r="H119" s="54" t="s">
        <v>106</v>
      </c>
      <c r="I119" s="54" t="s">
        <v>2</v>
      </c>
      <c r="J119" s="90" t="s">
        <v>399</v>
      </c>
      <c r="K119" s="90" t="s">
        <v>76</v>
      </c>
      <c r="L119" s="92">
        <v>981.2364943613585</v>
      </c>
      <c r="M119" s="92">
        <v>310.58469773282712</v>
      </c>
      <c r="N119" s="54" t="s">
        <v>103</v>
      </c>
      <c r="O119" s="92">
        <v>437.9</v>
      </c>
      <c r="P119" s="84" t="s">
        <v>399</v>
      </c>
      <c r="Q119" s="84" t="s">
        <v>399</v>
      </c>
      <c r="R119" s="54" t="s">
        <v>399</v>
      </c>
      <c r="S119" s="90" t="s">
        <v>399</v>
      </c>
      <c r="T119" s="54" t="s">
        <v>178</v>
      </c>
      <c r="U119" s="113" t="s">
        <v>399</v>
      </c>
      <c r="V119" s="90" t="s">
        <v>1094</v>
      </c>
      <c r="W119" s="90" t="s">
        <v>1236</v>
      </c>
      <c r="X119" s="90" t="s">
        <v>178</v>
      </c>
      <c r="Y119" s="90"/>
      <c r="Z119" s="54" t="s">
        <v>443</v>
      </c>
      <c r="AA119" s="54" t="s">
        <v>2</v>
      </c>
      <c r="AB119" s="54">
        <v>2012</v>
      </c>
      <c r="AC119" s="92">
        <v>998.80958399999997</v>
      </c>
      <c r="AD119" s="54" t="s">
        <v>178</v>
      </c>
      <c r="AE119" s="54"/>
    </row>
    <row r="120" spans="1:31" ht="26.4" x14ac:dyDescent="0.3">
      <c r="A120" s="54" t="s">
        <v>582</v>
      </c>
      <c r="B120" s="54">
        <v>2372</v>
      </c>
      <c r="C120" s="54" t="s">
        <v>78</v>
      </c>
      <c r="D120" s="54" t="s">
        <v>399</v>
      </c>
      <c r="E120" s="54" t="s">
        <v>154</v>
      </c>
      <c r="F120" s="54" t="s">
        <v>20</v>
      </c>
      <c r="G120" s="54" t="s">
        <v>90</v>
      </c>
      <c r="H120" s="54" t="s">
        <v>784</v>
      </c>
      <c r="I120" s="54" t="s">
        <v>2</v>
      </c>
      <c r="J120" s="90" t="s">
        <v>399</v>
      </c>
      <c r="K120" s="90" t="s">
        <v>76</v>
      </c>
      <c r="L120" s="92">
        <v>1421</v>
      </c>
      <c r="M120" s="92">
        <v>1211</v>
      </c>
      <c r="N120" s="54" t="s">
        <v>103</v>
      </c>
      <c r="O120" s="92">
        <v>1631.6</v>
      </c>
      <c r="P120" s="84" t="s">
        <v>399</v>
      </c>
      <c r="Q120" s="84" t="s">
        <v>399</v>
      </c>
      <c r="R120" s="54" t="s">
        <v>399</v>
      </c>
      <c r="S120" s="90" t="s">
        <v>399</v>
      </c>
      <c r="T120" s="54" t="s">
        <v>178</v>
      </c>
      <c r="U120" s="113" t="s">
        <v>399</v>
      </c>
      <c r="V120" s="90" t="s">
        <v>1095</v>
      </c>
      <c r="W120" s="90" t="s">
        <v>1237</v>
      </c>
      <c r="X120" s="90" t="s">
        <v>178</v>
      </c>
      <c r="Y120" s="90"/>
      <c r="Z120" s="54" t="s">
        <v>443</v>
      </c>
      <c r="AA120" s="54" t="s">
        <v>2</v>
      </c>
      <c r="AB120" s="54">
        <v>2012</v>
      </c>
      <c r="AC120" s="92">
        <v>1825.7077999999999</v>
      </c>
      <c r="AD120" s="54" t="s">
        <v>178</v>
      </c>
      <c r="AE120" s="54"/>
    </row>
    <row r="121" spans="1:31" ht="26.4" x14ac:dyDescent="0.3">
      <c r="A121" s="54" t="s">
        <v>582</v>
      </c>
      <c r="B121" s="54">
        <v>2373</v>
      </c>
      <c r="C121" s="54" t="s">
        <v>78</v>
      </c>
      <c r="D121" s="54" t="s">
        <v>399</v>
      </c>
      <c r="E121" s="54" t="s">
        <v>155</v>
      </c>
      <c r="F121" s="54" t="s">
        <v>540</v>
      </c>
      <c r="G121" s="54" t="s">
        <v>541</v>
      </c>
      <c r="H121" s="101" t="s">
        <v>448</v>
      </c>
      <c r="I121" s="54" t="s">
        <v>2</v>
      </c>
      <c r="J121" s="90" t="s">
        <v>399</v>
      </c>
      <c r="K121" s="90" t="s">
        <v>873</v>
      </c>
      <c r="L121" s="92">
        <v>36.408610440713289</v>
      </c>
      <c r="M121" s="92">
        <v>3.6839592547341176</v>
      </c>
      <c r="N121" s="54" t="s">
        <v>103</v>
      </c>
      <c r="O121" s="54">
        <v>28</v>
      </c>
      <c r="P121" s="84" t="s">
        <v>399</v>
      </c>
      <c r="Q121" s="84" t="s">
        <v>399</v>
      </c>
      <c r="R121" s="54" t="s">
        <v>399</v>
      </c>
      <c r="S121" s="90" t="s">
        <v>399</v>
      </c>
      <c r="T121" s="54" t="s">
        <v>178</v>
      </c>
      <c r="U121" s="113" t="s">
        <v>399</v>
      </c>
      <c r="V121" s="90" t="s">
        <v>1096</v>
      </c>
      <c r="W121" s="90" t="s">
        <v>1238</v>
      </c>
      <c r="X121" s="90" t="s">
        <v>178</v>
      </c>
      <c r="Y121" s="90"/>
      <c r="Z121" s="54" t="s">
        <v>443</v>
      </c>
      <c r="AA121" s="54" t="s">
        <v>2</v>
      </c>
      <c r="AB121" s="54">
        <v>2012</v>
      </c>
      <c r="AC121" s="92">
        <v>4.9895119999999995</v>
      </c>
      <c r="AD121" s="54" t="s">
        <v>178</v>
      </c>
      <c r="AE121" s="54"/>
    </row>
    <row r="122" spans="1:31" ht="26.4" x14ac:dyDescent="0.3">
      <c r="A122" s="54" t="s">
        <v>582</v>
      </c>
      <c r="B122" s="54">
        <v>2374</v>
      </c>
      <c r="C122" s="54" t="s">
        <v>78</v>
      </c>
      <c r="D122" s="54" t="s">
        <v>399</v>
      </c>
      <c r="E122" s="54" t="s">
        <v>156</v>
      </c>
      <c r="F122" s="54" t="s">
        <v>3</v>
      </c>
      <c r="G122" s="54" t="s">
        <v>542</v>
      </c>
      <c r="H122" s="54" t="s">
        <v>3</v>
      </c>
      <c r="I122" s="54" t="s">
        <v>1</v>
      </c>
      <c r="J122" s="90" t="s">
        <v>399</v>
      </c>
      <c r="K122" s="90" t="s">
        <v>178</v>
      </c>
      <c r="L122" s="92">
        <v>1851.3153696785869</v>
      </c>
      <c r="M122" s="92">
        <v>1173.8445490668453</v>
      </c>
      <c r="N122" s="54" t="s">
        <v>103</v>
      </c>
      <c r="O122" s="92" t="s">
        <v>178</v>
      </c>
      <c r="P122" s="84" t="s">
        <v>399</v>
      </c>
      <c r="Q122" s="84" t="s">
        <v>399</v>
      </c>
      <c r="R122" s="54" t="s">
        <v>399</v>
      </c>
      <c r="S122" s="90" t="s">
        <v>399</v>
      </c>
      <c r="T122" s="54" t="s">
        <v>178</v>
      </c>
      <c r="U122" s="113" t="s">
        <v>399</v>
      </c>
      <c r="V122" s="90" t="s">
        <v>399</v>
      </c>
      <c r="W122" s="90" t="s">
        <v>399</v>
      </c>
      <c r="X122" s="90" t="s">
        <v>178</v>
      </c>
      <c r="Y122" s="90"/>
      <c r="Z122" s="54" t="s">
        <v>446</v>
      </c>
      <c r="AA122" s="54" t="s">
        <v>1</v>
      </c>
      <c r="AB122" s="54">
        <v>2012</v>
      </c>
      <c r="AC122" s="92">
        <v>1171.174544</v>
      </c>
      <c r="AD122" s="54" t="s">
        <v>178</v>
      </c>
      <c r="AE122" s="54"/>
    </row>
    <row r="123" spans="1:31" ht="26.4" x14ac:dyDescent="0.3">
      <c r="A123" s="54" t="s">
        <v>582</v>
      </c>
      <c r="B123" s="54">
        <v>2375</v>
      </c>
      <c r="C123" s="54" t="s">
        <v>78</v>
      </c>
      <c r="D123" s="54" t="s">
        <v>399</v>
      </c>
      <c r="E123" s="54" t="s">
        <v>157</v>
      </c>
      <c r="F123" s="54" t="s">
        <v>22</v>
      </c>
      <c r="G123" s="54" t="s">
        <v>254</v>
      </c>
      <c r="H123" s="54" t="s">
        <v>784</v>
      </c>
      <c r="I123" s="54" t="s">
        <v>2</v>
      </c>
      <c r="J123" s="90" t="s">
        <v>399</v>
      </c>
      <c r="K123" s="90" t="s">
        <v>951</v>
      </c>
      <c r="L123" s="92">
        <v>7916.409812016459</v>
      </c>
      <c r="M123" s="92">
        <v>1411.9776663543594</v>
      </c>
      <c r="N123" s="54" t="s">
        <v>103</v>
      </c>
      <c r="O123" s="92">
        <v>811</v>
      </c>
      <c r="P123" s="84" t="s">
        <v>399</v>
      </c>
      <c r="Q123" s="84" t="s">
        <v>399</v>
      </c>
      <c r="R123" s="54" t="s">
        <v>399</v>
      </c>
      <c r="S123" s="90" t="s">
        <v>399</v>
      </c>
      <c r="T123" s="54" t="s">
        <v>178</v>
      </c>
      <c r="U123" s="113" t="s">
        <v>399</v>
      </c>
      <c r="V123" s="90" t="s">
        <v>1097</v>
      </c>
      <c r="W123" s="90" t="s">
        <v>1239</v>
      </c>
      <c r="X123" s="90" t="s">
        <v>178</v>
      </c>
      <c r="Y123" s="90"/>
      <c r="Z123" s="54" t="s">
        <v>443</v>
      </c>
      <c r="AA123" s="54" t="s">
        <v>2</v>
      </c>
      <c r="AB123" s="54">
        <v>2012</v>
      </c>
      <c r="AC123" s="92">
        <v>3308.046456</v>
      </c>
      <c r="AD123" s="54" t="s">
        <v>178</v>
      </c>
      <c r="AE123" s="54"/>
    </row>
    <row r="124" spans="1:31" ht="26.4" x14ac:dyDescent="0.3">
      <c r="A124" s="54" t="s">
        <v>582</v>
      </c>
      <c r="B124" s="54">
        <v>2376</v>
      </c>
      <c r="C124" s="54" t="s">
        <v>78</v>
      </c>
      <c r="D124" s="54" t="s">
        <v>399</v>
      </c>
      <c r="E124" s="54" t="s">
        <v>23</v>
      </c>
      <c r="F124" s="54" t="s">
        <v>24</v>
      </c>
      <c r="G124" s="54" t="s">
        <v>543</v>
      </c>
      <c r="H124" s="54" t="s">
        <v>484</v>
      </c>
      <c r="I124" s="54" t="s">
        <v>2</v>
      </c>
      <c r="J124" s="90" t="s">
        <v>399</v>
      </c>
      <c r="K124" s="90" t="s">
        <v>873</v>
      </c>
      <c r="L124" s="92">
        <v>37.402900438605002</v>
      </c>
      <c r="M124" s="92">
        <v>9.9875885900680039</v>
      </c>
      <c r="N124" s="54" t="s">
        <v>103</v>
      </c>
      <c r="O124" s="54">
        <v>15</v>
      </c>
      <c r="P124" s="84" t="s">
        <v>399</v>
      </c>
      <c r="Q124" s="84" t="s">
        <v>399</v>
      </c>
      <c r="R124" s="54" t="s">
        <v>399</v>
      </c>
      <c r="S124" s="90" t="s">
        <v>399</v>
      </c>
      <c r="T124" s="54" t="s">
        <v>178</v>
      </c>
      <c r="U124" s="113" t="s">
        <v>399</v>
      </c>
      <c r="V124" s="90" t="s">
        <v>1098</v>
      </c>
      <c r="W124" s="90" t="s">
        <v>1240</v>
      </c>
      <c r="X124" s="90" t="s">
        <v>178</v>
      </c>
      <c r="Y124" s="90"/>
      <c r="Z124" s="54" t="s">
        <v>443</v>
      </c>
      <c r="AA124" s="54" t="s">
        <v>2</v>
      </c>
      <c r="AB124" s="54">
        <v>2012</v>
      </c>
      <c r="AC124" s="92">
        <v>40.823279999999997</v>
      </c>
      <c r="AD124" s="54" t="s">
        <v>178</v>
      </c>
      <c r="AE124" s="54"/>
    </row>
    <row r="125" spans="1:31" x14ac:dyDescent="0.3">
      <c r="A125" s="54" t="s">
        <v>582</v>
      </c>
      <c r="B125" s="54">
        <v>2388</v>
      </c>
      <c r="C125" s="54" t="s">
        <v>78</v>
      </c>
      <c r="D125" s="54" t="s">
        <v>399</v>
      </c>
      <c r="E125" s="54" t="s">
        <v>64</v>
      </c>
      <c r="F125" s="54" t="s">
        <v>65</v>
      </c>
      <c r="G125" s="54" t="s">
        <v>83</v>
      </c>
      <c r="H125" s="54" t="s">
        <v>283</v>
      </c>
      <c r="I125" s="54" t="s">
        <v>2</v>
      </c>
      <c r="J125" s="90" t="s">
        <v>399</v>
      </c>
      <c r="K125" s="90" t="s">
        <v>963</v>
      </c>
      <c r="L125" s="92">
        <v>639.77533117310008</v>
      </c>
      <c r="M125" s="92">
        <v>218.32377324732877</v>
      </c>
      <c r="N125" s="54" t="s">
        <v>103</v>
      </c>
      <c r="O125" s="54">
        <v>848</v>
      </c>
      <c r="P125" s="84" t="s">
        <v>399</v>
      </c>
      <c r="Q125" s="84" t="s">
        <v>399</v>
      </c>
      <c r="R125" s="54" t="s">
        <v>399</v>
      </c>
      <c r="S125" s="90" t="s">
        <v>399</v>
      </c>
      <c r="T125" s="54" t="s">
        <v>178</v>
      </c>
      <c r="U125" s="113" t="s">
        <v>399</v>
      </c>
      <c r="V125" s="90" t="s">
        <v>1099</v>
      </c>
      <c r="W125" s="90" t="s">
        <v>1241</v>
      </c>
      <c r="X125" s="90" t="s">
        <v>178</v>
      </c>
      <c r="Y125" s="90"/>
      <c r="Z125" s="54" t="s">
        <v>443</v>
      </c>
      <c r="AA125" s="54" t="s">
        <v>2</v>
      </c>
      <c r="AB125" s="54">
        <v>2014</v>
      </c>
      <c r="AC125" s="92">
        <v>578.32979999999998</v>
      </c>
      <c r="AD125" s="54" t="s">
        <v>178</v>
      </c>
      <c r="AE125" s="54"/>
    </row>
    <row r="126" spans="1:31" ht="26.4" x14ac:dyDescent="0.3">
      <c r="A126" s="54" t="s">
        <v>582</v>
      </c>
      <c r="B126" s="54">
        <v>2378</v>
      </c>
      <c r="C126" s="54" t="s">
        <v>78</v>
      </c>
      <c r="D126" s="54" t="s">
        <v>399</v>
      </c>
      <c r="E126" s="54" t="s">
        <v>318</v>
      </c>
      <c r="F126" s="54" t="s">
        <v>319</v>
      </c>
      <c r="G126" s="54" t="s">
        <v>502</v>
      </c>
      <c r="H126" s="101" t="s">
        <v>403</v>
      </c>
      <c r="I126" s="54" t="s">
        <v>2</v>
      </c>
      <c r="J126" s="90" t="s">
        <v>399</v>
      </c>
      <c r="K126" s="90" t="s">
        <v>955</v>
      </c>
      <c r="L126" s="92">
        <v>0</v>
      </c>
      <c r="M126" s="92">
        <v>0.72162417355154007</v>
      </c>
      <c r="N126" s="54" t="s">
        <v>103</v>
      </c>
      <c r="O126" s="54">
        <v>9</v>
      </c>
      <c r="P126" s="84" t="s">
        <v>399</v>
      </c>
      <c r="Q126" s="84" t="s">
        <v>399</v>
      </c>
      <c r="R126" s="54" t="s">
        <v>399</v>
      </c>
      <c r="S126" s="90" t="s">
        <v>399</v>
      </c>
      <c r="T126" s="54" t="s">
        <v>178</v>
      </c>
      <c r="U126" s="113" t="s">
        <v>399</v>
      </c>
      <c r="V126" s="90" t="s">
        <v>1100</v>
      </c>
      <c r="W126" s="90" t="s">
        <v>1242</v>
      </c>
      <c r="X126" s="90" t="s">
        <v>178</v>
      </c>
      <c r="Y126" s="90"/>
      <c r="Z126" s="54" t="s">
        <v>443</v>
      </c>
      <c r="AA126" s="54"/>
      <c r="AB126" s="54">
        <v>2017</v>
      </c>
      <c r="AC126" s="92" t="s">
        <v>114</v>
      </c>
      <c r="AD126" s="54" t="s">
        <v>178</v>
      </c>
      <c r="AE126" s="54"/>
    </row>
    <row r="127" spans="1:31" ht="26.4" x14ac:dyDescent="0.3">
      <c r="A127" s="54" t="s">
        <v>582</v>
      </c>
      <c r="B127" s="54">
        <v>2366</v>
      </c>
      <c r="C127" s="54" t="s">
        <v>78</v>
      </c>
      <c r="D127" s="54" t="s">
        <v>399</v>
      </c>
      <c r="E127" s="54" t="s">
        <v>320</v>
      </c>
      <c r="F127" s="54" t="s">
        <v>321</v>
      </c>
      <c r="G127" s="54" t="s">
        <v>341</v>
      </c>
      <c r="H127" s="54" t="s">
        <v>283</v>
      </c>
      <c r="I127" s="54" t="s">
        <v>322</v>
      </c>
      <c r="J127" s="90" t="s">
        <v>399</v>
      </c>
      <c r="K127" s="90" t="s">
        <v>114</v>
      </c>
      <c r="L127" s="92" t="s">
        <v>114</v>
      </c>
      <c r="M127" s="92" t="s">
        <v>114</v>
      </c>
      <c r="N127" s="54" t="s">
        <v>103</v>
      </c>
      <c r="O127" s="92">
        <v>9</v>
      </c>
      <c r="P127" s="84" t="s">
        <v>399</v>
      </c>
      <c r="Q127" s="84" t="s">
        <v>399</v>
      </c>
      <c r="R127" s="54" t="s">
        <v>399</v>
      </c>
      <c r="S127" s="90" t="s">
        <v>399</v>
      </c>
      <c r="T127" s="54" t="s">
        <v>178</v>
      </c>
      <c r="U127" s="113" t="s">
        <v>399</v>
      </c>
      <c r="V127" s="90" t="s">
        <v>1101</v>
      </c>
      <c r="W127" s="90" t="s">
        <v>1243</v>
      </c>
      <c r="X127" s="90" t="s">
        <v>178</v>
      </c>
      <c r="Y127" s="90"/>
      <c r="Z127" s="54" t="s">
        <v>443</v>
      </c>
      <c r="AA127" s="54"/>
      <c r="AB127" s="54">
        <v>2017</v>
      </c>
      <c r="AC127" s="92" t="s">
        <v>114</v>
      </c>
      <c r="AD127" s="54" t="s">
        <v>178</v>
      </c>
      <c r="AE127" s="54"/>
    </row>
    <row r="128" spans="1:31" ht="26.4" x14ac:dyDescent="0.3">
      <c r="A128" s="54" t="s">
        <v>582</v>
      </c>
      <c r="B128" s="54">
        <v>2379</v>
      </c>
      <c r="C128" s="54" t="s">
        <v>78</v>
      </c>
      <c r="D128" s="54" t="s">
        <v>399</v>
      </c>
      <c r="E128" s="54" t="s">
        <v>323</v>
      </c>
      <c r="F128" s="54" t="s">
        <v>343</v>
      </c>
      <c r="G128" s="54" t="s">
        <v>342</v>
      </c>
      <c r="H128" s="54" t="s">
        <v>283</v>
      </c>
      <c r="I128" s="54" t="s">
        <v>118</v>
      </c>
      <c r="J128" s="90" t="s">
        <v>399</v>
      </c>
      <c r="K128" s="90" t="s">
        <v>114</v>
      </c>
      <c r="L128" s="92" t="s">
        <v>114</v>
      </c>
      <c r="M128" s="92" t="s">
        <v>114</v>
      </c>
      <c r="N128" s="54" t="s">
        <v>103</v>
      </c>
      <c r="O128" s="92">
        <v>242</v>
      </c>
      <c r="P128" s="84" t="s">
        <v>399</v>
      </c>
      <c r="Q128" s="84" t="s">
        <v>399</v>
      </c>
      <c r="R128" s="54" t="s">
        <v>399</v>
      </c>
      <c r="S128" s="90" t="s">
        <v>399</v>
      </c>
      <c r="T128" s="54" t="s">
        <v>178</v>
      </c>
      <c r="U128" s="113" t="s">
        <v>399</v>
      </c>
      <c r="V128" s="90" t="s">
        <v>1102</v>
      </c>
      <c r="W128" s="90" t="s">
        <v>1244</v>
      </c>
      <c r="X128" s="90" t="s">
        <v>178</v>
      </c>
      <c r="Y128" s="90"/>
      <c r="Z128" s="54" t="s">
        <v>443</v>
      </c>
      <c r="AA128" s="54"/>
      <c r="AB128" s="54">
        <v>2017</v>
      </c>
      <c r="AC128" s="92" t="s">
        <v>114</v>
      </c>
      <c r="AD128" s="54" t="s">
        <v>178</v>
      </c>
      <c r="AE128" s="54"/>
    </row>
    <row r="129" spans="1:31" x14ac:dyDescent="0.3">
      <c r="A129" s="54" t="s">
        <v>582</v>
      </c>
      <c r="B129" s="54">
        <v>2380</v>
      </c>
      <c r="C129" s="54" t="s">
        <v>78</v>
      </c>
      <c r="D129" s="54" t="s">
        <v>399</v>
      </c>
      <c r="E129" s="54" t="s">
        <v>324</v>
      </c>
      <c r="F129" s="54" t="s">
        <v>325</v>
      </c>
      <c r="G129" s="54" t="s">
        <v>344</v>
      </c>
      <c r="H129" s="54" t="s">
        <v>283</v>
      </c>
      <c r="I129" s="54" t="s">
        <v>118</v>
      </c>
      <c r="J129" s="90" t="s">
        <v>399</v>
      </c>
      <c r="K129" s="90" t="s">
        <v>114</v>
      </c>
      <c r="L129" s="92" t="s">
        <v>114</v>
      </c>
      <c r="M129" s="92" t="s">
        <v>114</v>
      </c>
      <c r="N129" s="54" t="s">
        <v>103</v>
      </c>
      <c r="O129" s="92">
        <v>183</v>
      </c>
      <c r="P129" s="84" t="s">
        <v>399</v>
      </c>
      <c r="Q129" s="84" t="s">
        <v>399</v>
      </c>
      <c r="R129" s="54" t="s">
        <v>399</v>
      </c>
      <c r="S129" s="90" t="s">
        <v>399</v>
      </c>
      <c r="T129" s="54" t="s">
        <v>178</v>
      </c>
      <c r="U129" s="113" t="s">
        <v>399</v>
      </c>
      <c r="V129" s="90" t="s">
        <v>1103</v>
      </c>
      <c r="W129" s="90" t="s">
        <v>1245</v>
      </c>
      <c r="X129" s="90" t="s">
        <v>178</v>
      </c>
      <c r="Y129" s="90"/>
      <c r="Z129" s="54" t="s">
        <v>443</v>
      </c>
      <c r="AA129" s="54"/>
      <c r="AB129" s="54">
        <v>2017</v>
      </c>
      <c r="AC129" s="92" t="s">
        <v>114</v>
      </c>
      <c r="AD129" s="54" t="s">
        <v>178</v>
      </c>
      <c r="AE129" s="54"/>
    </row>
    <row r="130" spans="1:31" x14ac:dyDescent="0.3">
      <c r="A130" s="54" t="s">
        <v>582</v>
      </c>
      <c r="B130" s="54">
        <v>2381</v>
      </c>
      <c r="C130" s="54" t="s">
        <v>78</v>
      </c>
      <c r="D130" s="54" t="s">
        <v>399</v>
      </c>
      <c r="E130" s="54" t="s">
        <v>326</v>
      </c>
      <c r="F130" s="54" t="s">
        <v>345</v>
      </c>
      <c r="G130" s="54" t="s">
        <v>342</v>
      </c>
      <c r="H130" s="54" t="s">
        <v>283</v>
      </c>
      <c r="I130" s="54" t="s">
        <v>118</v>
      </c>
      <c r="J130" s="90" t="s">
        <v>399</v>
      </c>
      <c r="K130" s="90" t="s">
        <v>114</v>
      </c>
      <c r="L130" s="92" t="s">
        <v>114</v>
      </c>
      <c r="M130" s="92" t="s">
        <v>114</v>
      </c>
      <c r="N130" s="54" t="s">
        <v>103</v>
      </c>
      <c r="O130" s="92">
        <v>336</v>
      </c>
      <c r="P130" s="84" t="s">
        <v>399</v>
      </c>
      <c r="Q130" s="84" t="s">
        <v>399</v>
      </c>
      <c r="R130" s="54" t="s">
        <v>399</v>
      </c>
      <c r="S130" s="90" t="s">
        <v>399</v>
      </c>
      <c r="T130" s="54" t="s">
        <v>178</v>
      </c>
      <c r="U130" s="113" t="s">
        <v>399</v>
      </c>
      <c r="V130" s="90" t="s">
        <v>1104</v>
      </c>
      <c r="W130" s="90" t="s">
        <v>1246</v>
      </c>
      <c r="X130" s="90" t="s">
        <v>178</v>
      </c>
      <c r="Y130" s="90"/>
      <c r="Z130" s="54" t="s">
        <v>443</v>
      </c>
      <c r="AA130" s="54"/>
      <c r="AB130" s="54">
        <v>2017</v>
      </c>
      <c r="AC130" s="92" t="s">
        <v>114</v>
      </c>
      <c r="AD130" s="54" t="s">
        <v>178</v>
      </c>
      <c r="AE130" s="54"/>
    </row>
    <row r="131" spans="1:31" ht="39.6" x14ac:dyDescent="0.3">
      <c r="A131" s="54" t="s">
        <v>582</v>
      </c>
      <c r="B131" s="54">
        <v>4852</v>
      </c>
      <c r="C131" s="54" t="s">
        <v>567</v>
      </c>
      <c r="D131" s="54" t="s">
        <v>178</v>
      </c>
      <c r="E131" s="54" t="s">
        <v>568</v>
      </c>
      <c r="F131" s="54" t="s">
        <v>569</v>
      </c>
      <c r="G131" s="54" t="s">
        <v>570</v>
      </c>
      <c r="H131" s="54" t="s">
        <v>12</v>
      </c>
      <c r="I131" s="59" t="s">
        <v>2</v>
      </c>
      <c r="J131" s="61" t="s">
        <v>963</v>
      </c>
      <c r="K131" s="61" t="s">
        <v>951</v>
      </c>
      <c r="L131" s="92">
        <v>1564.0296893829764</v>
      </c>
      <c r="M131" s="92">
        <v>299.09398854493202</v>
      </c>
      <c r="N131" s="54" t="s">
        <v>765</v>
      </c>
      <c r="O131" s="113" t="s">
        <v>178</v>
      </c>
      <c r="P131" s="84" t="s">
        <v>399</v>
      </c>
      <c r="Q131" s="84">
        <v>5500</v>
      </c>
      <c r="R131" s="54" t="s">
        <v>567</v>
      </c>
      <c r="S131" s="61" t="s">
        <v>178</v>
      </c>
      <c r="T131" s="54" t="s">
        <v>178</v>
      </c>
      <c r="U131" s="59" t="s">
        <v>178</v>
      </c>
      <c r="V131" s="61" t="s">
        <v>1105</v>
      </c>
      <c r="W131" s="61" t="s">
        <v>1247</v>
      </c>
      <c r="X131" s="90" t="s">
        <v>178</v>
      </c>
      <c r="Y131" s="54"/>
      <c r="Z131" s="54" t="s">
        <v>446</v>
      </c>
      <c r="AA131" s="54" t="s">
        <v>2</v>
      </c>
      <c r="AB131" s="54">
        <v>2019</v>
      </c>
      <c r="AC131" s="92" t="s">
        <v>178</v>
      </c>
      <c r="AD131" s="54" t="s">
        <v>178</v>
      </c>
      <c r="AE131" s="54"/>
    </row>
    <row r="132" spans="1:31" ht="39.6" x14ac:dyDescent="0.3">
      <c r="A132" s="54" t="s">
        <v>582</v>
      </c>
      <c r="B132" s="54">
        <v>4853</v>
      </c>
      <c r="C132" s="54" t="s">
        <v>567</v>
      </c>
      <c r="D132" s="54" t="s">
        <v>178</v>
      </c>
      <c r="E132" s="54" t="s">
        <v>571</v>
      </c>
      <c r="F132" s="54" t="s">
        <v>572</v>
      </c>
      <c r="G132" s="54" t="s">
        <v>573</v>
      </c>
      <c r="H132" s="54" t="s">
        <v>486</v>
      </c>
      <c r="I132" s="59" t="s">
        <v>322</v>
      </c>
      <c r="J132" s="61" t="s">
        <v>860</v>
      </c>
      <c r="K132" s="90" t="s">
        <v>950</v>
      </c>
      <c r="L132" s="92">
        <v>1252.7</v>
      </c>
      <c r="M132" s="92" t="s">
        <v>178</v>
      </c>
      <c r="N132" s="93" t="s">
        <v>762</v>
      </c>
      <c r="O132" s="54" t="s">
        <v>114</v>
      </c>
      <c r="P132" s="84">
        <v>891848</v>
      </c>
      <c r="Q132" s="84">
        <v>12240</v>
      </c>
      <c r="R132" s="59" t="s">
        <v>186</v>
      </c>
      <c r="S132" s="90" t="s">
        <v>989</v>
      </c>
      <c r="T132" s="59" t="s">
        <v>743</v>
      </c>
      <c r="U132" s="59" t="s">
        <v>178</v>
      </c>
      <c r="V132" s="61" t="s">
        <v>1106</v>
      </c>
      <c r="W132" s="61" t="s">
        <v>1248</v>
      </c>
      <c r="X132" s="61" t="s">
        <v>923</v>
      </c>
      <c r="Y132" s="90"/>
      <c r="Z132" s="54" t="s">
        <v>443</v>
      </c>
      <c r="AA132" s="54" t="s">
        <v>118</v>
      </c>
      <c r="AB132" s="54">
        <v>2019</v>
      </c>
      <c r="AC132" s="92" t="s">
        <v>178</v>
      </c>
      <c r="AD132" s="54" t="s">
        <v>178</v>
      </c>
      <c r="AE132" s="54">
        <v>1</v>
      </c>
    </row>
    <row r="133" spans="1:31" ht="26.4" x14ac:dyDescent="0.3">
      <c r="A133" s="54" t="s">
        <v>582</v>
      </c>
      <c r="B133" s="54">
        <v>4854</v>
      </c>
      <c r="C133" s="54" t="s">
        <v>567</v>
      </c>
      <c r="D133" s="54" t="s">
        <v>178</v>
      </c>
      <c r="E133" s="54" t="s">
        <v>574</v>
      </c>
      <c r="F133" s="54" t="s">
        <v>575</v>
      </c>
      <c r="G133" s="54" t="s">
        <v>587</v>
      </c>
      <c r="H133" s="54" t="s">
        <v>784</v>
      </c>
      <c r="I133" s="54" t="s">
        <v>322</v>
      </c>
      <c r="J133" s="61" t="s">
        <v>949</v>
      </c>
      <c r="K133" s="90" t="s">
        <v>950</v>
      </c>
      <c r="L133" s="92" t="s">
        <v>114</v>
      </c>
      <c r="M133" s="92" t="s">
        <v>114</v>
      </c>
      <c r="N133" s="93" t="s">
        <v>213</v>
      </c>
      <c r="O133" s="59">
        <v>9</v>
      </c>
      <c r="P133" s="84">
        <v>42395</v>
      </c>
      <c r="Q133" s="111">
        <v>21198</v>
      </c>
      <c r="R133" s="54" t="s">
        <v>567</v>
      </c>
      <c r="S133" s="61" t="s">
        <v>990</v>
      </c>
      <c r="T133" s="59" t="s">
        <v>178</v>
      </c>
      <c r="U133" s="59" t="s">
        <v>178</v>
      </c>
      <c r="V133" s="61" t="s">
        <v>1107</v>
      </c>
      <c r="W133" s="61" t="s">
        <v>1249</v>
      </c>
      <c r="X133" s="90" t="s">
        <v>178</v>
      </c>
      <c r="Y133" s="90"/>
      <c r="Z133" s="54" t="s">
        <v>443</v>
      </c>
      <c r="AA133" s="54" t="s">
        <v>322</v>
      </c>
      <c r="AB133" s="54">
        <v>2019</v>
      </c>
      <c r="AC133" s="92" t="s">
        <v>178</v>
      </c>
      <c r="AD133" s="54" t="s">
        <v>178</v>
      </c>
      <c r="AE133" s="54"/>
    </row>
    <row r="134" spans="1:31" ht="26.4" x14ac:dyDescent="0.3">
      <c r="A134" s="54" t="s">
        <v>582</v>
      </c>
      <c r="B134" s="54">
        <v>5208</v>
      </c>
      <c r="C134" s="54" t="s">
        <v>679</v>
      </c>
      <c r="D134" s="54" t="s">
        <v>722</v>
      </c>
      <c r="E134" s="54" t="s">
        <v>680</v>
      </c>
      <c r="F134" s="54" t="s">
        <v>602</v>
      </c>
      <c r="G134" s="54" t="s">
        <v>603</v>
      </c>
      <c r="H134" s="54" t="s">
        <v>12</v>
      </c>
      <c r="I134" s="54" t="s">
        <v>118</v>
      </c>
      <c r="J134" s="61" t="s">
        <v>798</v>
      </c>
      <c r="K134" s="90" t="s">
        <v>178</v>
      </c>
      <c r="L134" s="92" t="s">
        <v>178</v>
      </c>
      <c r="M134" s="92" t="s">
        <v>178</v>
      </c>
      <c r="N134" s="93" t="s">
        <v>763</v>
      </c>
      <c r="O134" s="54" t="s">
        <v>178</v>
      </c>
      <c r="P134" s="111">
        <v>500</v>
      </c>
      <c r="Q134" s="84" t="s">
        <v>178</v>
      </c>
      <c r="R134" s="54" t="s">
        <v>679</v>
      </c>
      <c r="S134" s="61" t="s">
        <v>974</v>
      </c>
      <c r="T134" s="54" t="s">
        <v>178</v>
      </c>
      <c r="U134" s="113" t="s">
        <v>178</v>
      </c>
      <c r="V134" s="61" t="s">
        <v>1108</v>
      </c>
      <c r="W134" s="61" t="s">
        <v>1250</v>
      </c>
      <c r="X134" s="90" t="s">
        <v>178</v>
      </c>
      <c r="Y134" s="90"/>
      <c r="Z134" s="54" t="s">
        <v>446</v>
      </c>
      <c r="AA134" s="54"/>
      <c r="AB134" s="54">
        <v>2019</v>
      </c>
      <c r="AC134" s="92" t="s">
        <v>178</v>
      </c>
      <c r="AD134" s="54" t="s">
        <v>178</v>
      </c>
      <c r="AE134" s="54"/>
    </row>
    <row r="135" spans="1:31" ht="26.4" x14ac:dyDescent="0.3">
      <c r="A135" s="54" t="s">
        <v>582</v>
      </c>
      <c r="B135" s="54">
        <v>5209</v>
      </c>
      <c r="C135" s="54" t="s">
        <v>679</v>
      </c>
      <c r="D135" s="54" t="s">
        <v>96</v>
      </c>
      <c r="E135" s="54" t="s">
        <v>681</v>
      </c>
      <c r="F135" s="54" t="s">
        <v>605</v>
      </c>
      <c r="G135" s="54" t="s">
        <v>606</v>
      </c>
      <c r="H135" s="54" t="s">
        <v>444</v>
      </c>
      <c r="I135" s="54" t="s">
        <v>118</v>
      </c>
      <c r="J135" s="61" t="s">
        <v>798</v>
      </c>
      <c r="K135" s="90" t="s">
        <v>178</v>
      </c>
      <c r="L135" s="92" t="s">
        <v>178</v>
      </c>
      <c r="M135" s="92" t="s">
        <v>178</v>
      </c>
      <c r="N135" s="93" t="s">
        <v>763</v>
      </c>
      <c r="O135" s="54" t="s">
        <v>178</v>
      </c>
      <c r="P135" s="111">
        <v>1000</v>
      </c>
      <c r="Q135" s="84" t="s">
        <v>178</v>
      </c>
      <c r="R135" s="54" t="s">
        <v>679</v>
      </c>
      <c r="S135" s="61" t="s">
        <v>975</v>
      </c>
      <c r="T135" s="54" t="s">
        <v>178</v>
      </c>
      <c r="U135" s="113" t="s">
        <v>178</v>
      </c>
      <c r="V135" s="61" t="s">
        <v>1108</v>
      </c>
      <c r="W135" s="61" t="s">
        <v>1250</v>
      </c>
      <c r="X135" s="90" t="s">
        <v>178</v>
      </c>
      <c r="Y135" s="90"/>
      <c r="Z135" s="54" t="s">
        <v>446</v>
      </c>
      <c r="AA135" s="54"/>
      <c r="AB135" s="54">
        <v>2019</v>
      </c>
      <c r="AC135" s="92" t="s">
        <v>178</v>
      </c>
      <c r="AD135" s="54" t="s">
        <v>178</v>
      </c>
      <c r="AE135" s="54"/>
    </row>
    <row r="136" spans="1:31" ht="26.4" x14ac:dyDescent="0.3">
      <c r="A136" s="54" t="s">
        <v>582</v>
      </c>
      <c r="B136" s="54">
        <v>5210</v>
      </c>
      <c r="C136" s="54" t="s">
        <v>679</v>
      </c>
      <c r="D136" s="54" t="s">
        <v>178</v>
      </c>
      <c r="E136" s="54" t="s">
        <v>682</v>
      </c>
      <c r="F136" s="54" t="s">
        <v>608</v>
      </c>
      <c r="G136" s="146" t="s">
        <v>926</v>
      </c>
      <c r="H136" s="54" t="s">
        <v>107</v>
      </c>
      <c r="I136" s="54" t="s">
        <v>2</v>
      </c>
      <c r="J136" s="61" t="s">
        <v>798</v>
      </c>
      <c r="K136" s="102" t="s">
        <v>798</v>
      </c>
      <c r="L136" s="92" t="s">
        <v>178</v>
      </c>
      <c r="M136" s="92" t="s">
        <v>178</v>
      </c>
      <c r="N136" s="93" t="s">
        <v>763</v>
      </c>
      <c r="O136" s="54" t="s">
        <v>178</v>
      </c>
      <c r="P136" s="111">
        <v>0</v>
      </c>
      <c r="Q136" s="84" t="s">
        <v>178</v>
      </c>
      <c r="R136" s="54" t="s">
        <v>679</v>
      </c>
      <c r="S136" s="149" t="s">
        <v>178</v>
      </c>
      <c r="T136" s="54" t="s">
        <v>178</v>
      </c>
      <c r="U136" s="113" t="s">
        <v>178</v>
      </c>
      <c r="V136" s="61" t="s">
        <v>1109</v>
      </c>
      <c r="W136" s="61" t="s">
        <v>1251</v>
      </c>
      <c r="X136" s="90" t="s">
        <v>178</v>
      </c>
      <c r="Y136" s="90"/>
      <c r="Z136" s="54" t="s">
        <v>446</v>
      </c>
      <c r="AA136" s="54"/>
      <c r="AB136" s="54">
        <v>2019</v>
      </c>
      <c r="AC136" s="92" t="s">
        <v>178</v>
      </c>
      <c r="AD136" s="54" t="s">
        <v>178</v>
      </c>
      <c r="AE136" s="54"/>
    </row>
    <row r="137" spans="1:31" ht="26.4" x14ac:dyDescent="0.3">
      <c r="A137" s="54" t="s">
        <v>582</v>
      </c>
      <c r="B137" s="54">
        <v>5211</v>
      </c>
      <c r="C137" s="54" t="s">
        <v>679</v>
      </c>
      <c r="D137" s="54" t="s">
        <v>178</v>
      </c>
      <c r="E137" s="54" t="s">
        <v>683</v>
      </c>
      <c r="F137" s="54" t="s">
        <v>610</v>
      </c>
      <c r="G137" s="54" t="s">
        <v>611</v>
      </c>
      <c r="H137" s="54" t="s">
        <v>492</v>
      </c>
      <c r="I137" s="54" t="s">
        <v>118</v>
      </c>
      <c r="J137" s="61" t="s">
        <v>950</v>
      </c>
      <c r="K137" s="90" t="s">
        <v>114</v>
      </c>
      <c r="L137" s="92" t="s">
        <v>178</v>
      </c>
      <c r="M137" s="92" t="s">
        <v>178</v>
      </c>
      <c r="N137" s="54" t="s">
        <v>763</v>
      </c>
      <c r="O137" s="54" t="s">
        <v>178</v>
      </c>
      <c r="P137" s="111">
        <v>5000</v>
      </c>
      <c r="Q137" s="84" t="s">
        <v>178</v>
      </c>
      <c r="R137" s="54" t="s">
        <v>679</v>
      </c>
      <c r="S137" s="61" t="s">
        <v>991</v>
      </c>
      <c r="T137" s="54" t="s">
        <v>178</v>
      </c>
      <c r="U137" s="113" t="s">
        <v>178</v>
      </c>
      <c r="V137" s="90" t="s">
        <v>1109</v>
      </c>
      <c r="W137" s="90" t="s">
        <v>1251</v>
      </c>
      <c r="X137" s="90" t="s">
        <v>178</v>
      </c>
      <c r="Y137" s="90"/>
      <c r="Z137" s="54" t="s">
        <v>443</v>
      </c>
      <c r="AA137" s="54"/>
      <c r="AB137" s="54">
        <v>2019</v>
      </c>
      <c r="AC137" s="92" t="s">
        <v>178</v>
      </c>
      <c r="AD137" s="54" t="s">
        <v>178</v>
      </c>
      <c r="AE137" s="54"/>
    </row>
    <row r="138" spans="1:31" ht="26.4" x14ac:dyDescent="0.3">
      <c r="A138" s="54" t="s">
        <v>582</v>
      </c>
      <c r="B138" s="54">
        <v>5212</v>
      </c>
      <c r="C138" s="54" t="s">
        <v>679</v>
      </c>
      <c r="D138" s="54" t="s">
        <v>178</v>
      </c>
      <c r="E138" s="54" t="s">
        <v>684</v>
      </c>
      <c r="F138" s="54" t="s">
        <v>613</v>
      </c>
      <c r="G138" s="54" t="s">
        <v>614</v>
      </c>
      <c r="H138" s="54" t="s">
        <v>106</v>
      </c>
      <c r="I138" s="54" t="s">
        <v>1</v>
      </c>
      <c r="J138" s="61" t="s">
        <v>950</v>
      </c>
      <c r="K138" s="90" t="s">
        <v>178</v>
      </c>
      <c r="L138" s="92" t="s">
        <v>178</v>
      </c>
      <c r="M138" s="92" t="s">
        <v>178</v>
      </c>
      <c r="N138" s="54" t="s">
        <v>763</v>
      </c>
      <c r="O138" s="54" t="s">
        <v>178</v>
      </c>
      <c r="P138" s="111">
        <v>5000</v>
      </c>
      <c r="Q138" s="84" t="s">
        <v>178</v>
      </c>
      <c r="R138" s="54" t="s">
        <v>679</v>
      </c>
      <c r="S138" s="61" t="s">
        <v>991</v>
      </c>
      <c r="T138" s="54" t="s">
        <v>178</v>
      </c>
      <c r="U138" s="113" t="s">
        <v>178</v>
      </c>
      <c r="V138" s="61" t="s">
        <v>1110</v>
      </c>
      <c r="W138" s="61" t="s">
        <v>1252</v>
      </c>
      <c r="X138" s="90" t="s">
        <v>178</v>
      </c>
      <c r="Y138" s="90"/>
      <c r="Z138" s="54" t="s">
        <v>443</v>
      </c>
      <c r="AA138" s="54"/>
      <c r="AB138" s="54">
        <v>2019</v>
      </c>
      <c r="AC138" s="92" t="s">
        <v>178</v>
      </c>
      <c r="AD138" s="54" t="s">
        <v>178</v>
      </c>
      <c r="AE138" s="54"/>
    </row>
    <row r="139" spans="1:31" ht="26.4" x14ac:dyDescent="0.3">
      <c r="A139" s="54" t="s">
        <v>582</v>
      </c>
      <c r="B139" s="54">
        <v>5213</v>
      </c>
      <c r="C139" s="54" t="s">
        <v>685</v>
      </c>
      <c r="D139" s="54" t="s">
        <v>722</v>
      </c>
      <c r="E139" s="54" t="s">
        <v>686</v>
      </c>
      <c r="F139" s="54" t="s">
        <v>602</v>
      </c>
      <c r="G139" s="54" t="s">
        <v>603</v>
      </c>
      <c r="H139" s="54" t="s">
        <v>12</v>
      </c>
      <c r="I139" s="54" t="s">
        <v>118</v>
      </c>
      <c r="J139" s="61" t="s">
        <v>798</v>
      </c>
      <c r="K139" s="90" t="s">
        <v>178</v>
      </c>
      <c r="L139" s="92" t="s">
        <v>178</v>
      </c>
      <c r="M139" s="92" t="s">
        <v>178</v>
      </c>
      <c r="N139" s="54" t="s">
        <v>762</v>
      </c>
      <c r="O139" s="54" t="s">
        <v>178</v>
      </c>
      <c r="P139" s="111">
        <v>500</v>
      </c>
      <c r="Q139" s="84" t="s">
        <v>178</v>
      </c>
      <c r="R139" s="54" t="s">
        <v>685</v>
      </c>
      <c r="S139" s="61" t="s">
        <v>974</v>
      </c>
      <c r="T139" s="54" t="s">
        <v>178</v>
      </c>
      <c r="U139" s="113" t="s">
        <v>178</v>
      </c>
      <c r="V139" s="61" t="s">
        <v>1111</v>
      </c>
      <c r="W139" s="61" t="s">
        <v>857</v>
      </c>
      <c r="X139" s="90" t="s">
        <v>178</v>
      </c>
      <c r="Y139" s="90"/>
      <c r="Z139" s="54" t="s">
        <v>446</v>
      </c>
      <c r="AA139" s="54"/>
      <c r="AB139" s="54">
        <v>2019</v>
      </c>
      <c r="AC139" s="92" t="s">
        <v>178</v>
      </c>
      <c r="AD139" s="54" t="s">
        <v>178</v>
      </c>
      <c r="AE139" s="54"/>
    </row>
    <row r="140" spans="1:31" ht="26.4" x14ac:dyDescent="0.3">
      <c r="A140" s="54" t="s">
        <v>582</v>
      </c>
      <c r="B140" s="54">
        <v>5214</v>
      </c>
      <c r="C140" s="54" t="s">
        <v>685</v>
      </c>
      <c r="D140" s="54" t="s">
        <v>96</v>
      </c>
      <c r="E140" s="54" t="s">
        <v>687</v>
      </c>
      <c r="F140" s="54" t="s">
        <v>605</v>
      </c>
      <c r="G140" s="54" t="s">
        <v>606</v>
      </c>
      <c r="H140" s="54" t="s">
        <v>444</v>
      </c>
      <c r="I140" s="54" t="s">
        <v>118</v>
      </c>
      <c r="J140" s="61" t="s">
        <v>798</v>
      </c>
      <c r="K140" s="90" t="s">
        <v>178</v>
      </c>
      <c r="L140" s="92" t="s">
        <v>178</v>
      </c>
      <c r="M140" s="92" t="s">
        <v>178</v>
      </c>
      <c r="N140" s="54" t="s">
        <v>762</v>
      </c>
      <c r="O140" s="54" t="s">
        <v>178</v>
      </c>
      <c r="P140" s="111">
        <v>1000</v>
      </c>
      <c r="Q140" s="84" t="s">
        <v>178</v>
      </c>
      <c r="R140" s="54" t="s">
        <v>685</v>
      </c>
      <c r="S140" s="61" t="s">
        <v>975</v>
      </c>
      <c r="T140" s="54" t="s">
        <v>178</v>
      </c>
      <c r="U140" s="113" t="s">
        <v>178</v>
      </c>
      <c r="V140" s="61" t="s">
        <v>1111</v>
      </c>
      <c r="W140" s="61" t="s">
        <v>857</v>
      </c>
      <c r="X140" s="90" t="s">
        <v>178</v>
      </c>
      <c r="Y140" s="90"/>
      <c r="Z140" s="54" t="s">
        <v>446</v>
      </c>
      <c r="AA140" s="54"/>
      <c r="AB140" s="54">
        <v>2019</v>
      </c>
      <c r="AC140" s="92" t="s">
        <v>178</v>
      </c>
      <c r="AD140" s="54" t="s">
        <v>178</v>
      </c>
      <c r="AE140" s="54"/>
    </row>
    <row r="141" spans="1:31" ht="26.4" x14ac:dyDescent="0.3">
      <c r="A141" s="54" t="s">
        <v>582</v>
      </c>
      <c r="B141" s="54">
        <v>5215</v>
      </c>
      <c r="C141" s="54" t="s">
        <v>685</v>
      </c>
      <c r="D141" s="54" t="s">
        <v>178</v>
      </c>
      <c r="E141" s="54" t="s">
        <v>688</v>
      </c>
      <c r="F141" s="54" t="s">
        <v>608</v>
      </c>
      <c r="G141" s="146" t="s">
        <v>926</v>
      </c>
      <c r="H141" s="54" t="s">
        <v>107</v>
      </c>
      <c r="I141" s="54" t="s">
        <v>2</v>
      </c>
      <c r="J141" s="61" t="s">
        <v>798</v>
      </c>
      <c r="K141" s="102" t="s">
        <v>798</v>
      </c>
      <c r="L141" s="92" t="s">
        <v>178</v>
      </c>
      <c r="M141" s="92" t="s">
        <v>178</v>
      </c>
      <c r="N141" s="54" t="s">
        <v>762</v>
      </c>
      <c r="O141" s="54" t="s">
        <v>178</v>
      </c>
      <c r="P141" s="111">
        <v>0</v>
      </c>
      <c r="Q141" s="84" t="s">
        <v>178</v>
      </c>
      <c r="R141" s="54" t="s">
        <v>685</v>
      </c>
      <c r="S141" s="61" t="s">
        <v>178</v>
      </c>
      <c r="T141" s="54" t="s">
        <v>178</v>
      </c>
      <c r="U141" s="113" t="s">
        <v>178</v>
      </c>
      <c r="V141" s="61" t="s">
        <v>1112</v>
      </c>
      <c r="W141" s="61" t="s">
        <v>858</v>
      </c>
      <c r="X141" s="90" t="s">
        <v>178</v>
      </c>
      <c r="Y141" s="90"/>
      <c r="Z141" s="54" t="s">
        <v>446</v>
      </c>
      <c r="AA141" s="54"/>
      <c r="AB141" s="54">
        <v>2019</v>
      </c>
      <c r="AC141" s="92" t="s">
        <v>178</v>
      </c>
      <c r="AD141" s="54" t="s">
        <v>178</v>
      </c>
      <c r="AE141" s="54"/>
    </row>
    <row r="142" spans="1:31" ht="26.4" x14ac:dyDescent="0.3">
      <c r="A142" s="54" t="s">
        <v>582</v>
      </c>
      <c r="B142" s="54">
        <v>5216</v>
      </c>
      <c r="C142" s="54" t="s">
        <v>685</v>
      </c>
      <c r="D142" s="54" t="s">
        <v>178</v>
      </c>
      <c r="E142" s="54" t="s">
        <v>689</v>
      </c>
      <c r="F142" s="54" t="s">
        <v>666</v>
      </c>
      <c r="G142" s="54" t="s">
        <v>667</v>
      </c>
      <c r="H142" s="54" t="s">
        <v>106</v>
      </c>
      <c r="I142" s="54" t="s">
        <v>118</v>
      </c>
      <c r="J142" s="61" t="s">
        <v>950</v>
      </c>
      <c r="K142" s="90" t="s">
        <v>114</v>
      </c>
      <c r="L142" s="92" t="s">
        <v>178</v>
      </c>
      <c r="M142" s="92" t="s">
        <v>178</v>
      </c>
      <c r="N142" s="54" t="s">
        <v>762</v>
      </c>
      <c r="O142" s="54" t="s">
        <v>178</v>
      </c>
      <c r="P142" s="111">
        <v>3500</v>
      </c>
      <c r="Q142" s="84" t="s">
        <v>178</v>
      </c>
      <c r="R142" s="54" t="s">
        <v>685</v>
      </c>
      <c r="S142" s="61" t="s">
        <v>992</v>
      </c>
      <c r="T142" s="54" t="s">
        <v>178</v>
      </c>
      <c r="U142" s="113" t="s">
        <v>178</v>
      </c>
      <c r="V142" s="61" t="s">
        <v>1112</v>
      </c>
      <c r="W142" s="61" t="s">
        <v>858</v>
      </c>
      <c r="X142" s="90" t="s">
        <v>178</v>
      </c>
      <c r="Y142" s="90"/>
      <c r="Z142" s="54" t="s">
        <v>443</v>
      </c>
      <c r="AA142" s="54"/>
      <c r="AB142" s="54">
        <v>2019</v>
      </c>
      <c r="AC142" s="92" t="s">
        <v>178</v>
      </c>
      <c r="AD142" s="54" t="s">
        <v>178</v>
      </c>
      <c r="AE142" s="54"/>
    </row>
    <row r="143" spans="1:31" s="135" customFormat="1" ht="26.4" x14ac:dyDescent="0.3">
      <c r="A143" s="54" t="s">
        <v>582</v>
      </c>
      <c r="B143" s="54">
        <v>5217</v>
      </c>
      <c r="C143" s="54" t="s">
        <v>685</v>
      </c>
      <c r="D143" s="54" t="s">
        <v>178</v>
      </c>
      <c r="E143" s="54" t="s">
        <v>690</v>
      </c>
      <c r="F143" s="54" t="s">
        <v>613</v>
      </c>
      <c r="G143" s="54" t="s">
        <v>614</v>
      </c>
      <c r="H143" s="54" t="s">
        <v>106</v>
      </c>
      <c r="I143" s="54" t="s">
        <v>1</v>
      </c>
      <c r="J143" s="61" t="s">
        <v>950</v>
      </c>
      <c r="K143" s="90" t="s">
        <v>178</v>
      </c>
      <c r="L143" s="92" t="s">
        <v>178</v>
      </c>
      <c r="M143" s="92" t="s">
        <v>178</v>
      </c>
      <c r="N143" s="54" t="s">
        <v>762</v>
      </c>
      <c r="O143" s="54" t="s">
        <v>178</v>
      </c>
      <c r="P143" s="111">
        <v>2000</v>
      </c>
      <c r="Q143" s="84" t="s">
        <v>178</v>
      </c>
      <c r="R143" s="54" t="s">
        <v>685</v>
      </c>
      <c r="S143" s="61" t="s">
        <v>993</v>
      </c>
      <c r="T143" s="54" t="s">
        <v>178</v>
      </c>
      <c r="U143" s="113" t="s">
        <v>178</v>
      </c>
      <c r="V143" s="61" t="s">
        <v>1113</v>
      </c>
      <c r="W143" s="61" t="s">
        <v>1253</v>
      </c>
      <c r="X143" s="90" t="s">
        <v>178</v>
      </c>
      <c r="Y143" s="90"/>
      <c r="Z143" s="54" t="s">
        <v>443</v>
      </c>
      <c r="AA143" s="54"/>
      <c r="AB143" s="54">
        <v>2019</v>
      </c>
      <c r="AC143" s="92" t="s">
        <v>178</v>
      </c>
      <c r="AD143" s="54" t="s">
        <v>178</v>
      </c>
      <c r="AE143" s="54"/>
    </row>
    <row r="144" spans="1:31" s="135" customFormat="1" ht="52.8" x14ac:dyDescent="0.3">
      <c r="A144" s="54" t="s">
        <v>582</v>
      </c>
      <c r="B144" s="54">
        <v>2382</v>
      </c>
      <c r="C144" s="54" t="s">
        <v>101</v>
      </c>
      <c r="D144" s="54" t="s">
        <v>399</v>
      </c>
      <c r="E144" s="54" t="s">
        <v>534</v>
      </c>
      <c r="F144" s="54" t="s">
        <v>544</v>
      </c>
      <c r="G144" s="146" t="s">
        <v>932</v>
      </c>
      <c r="H144" s="54" t="s">
        <v>12</v>
      </c>
      <c r="I144" s="54" t="s">
        <v>1</v>
      </c>
      <c r="J144" s="90" t="s">
        <v>399</v>
      </c>
      <c r="K144" s="90" t="s">
        <v>178</v>
      </c>
      <c r="L144" s="92">
        <v>1622.5190861155108</v>
      </c>
      <c r="M144" s="92">
        <v>276.47363964071855</v>
      </c>
      <c r="N144" s="54" t="s">
        <v>764</v>
      </c>
      <c r="O144" s="92" t="s">
        <v>178</v>
      </c>
      <c r="P144" s="116" t="s">
        <v>399</v>
      </c>
      <c r="Q144" s="84" t="s">
        <v>399</v>
      </c>
      <c r="R144" s="54" t="s">
        <v>399</v>
      </c>
      <c r="S144" s="90" t="s">
        <v>399</v>
      </c>
      <c r="T144" s="54" t="s">
        <v>178</v>
      </c>
      <c r="U144" s="113" t="s">
        <v>399</v>
      </c>
      <c r="V144" s="90" t="s">
        <v>399</v>
      </c>
      <c r="W144" s="90" t="s">
        <v>399</v>
      </c>
      <c r="X144" s="90" t="s">
        <v>178</v>
      </c>
      <c r="Y144" s="90"/>
      <c r="Z144" s="54" t="s">
        <v>446</v>
      </c>
      <c r="AA144" s="54" t="s">
        <v>1</v>
      </c>
      <c r="AB144" s="54">
        <v>2012</v>
      </c>
      <c r="AC144" s="92">
        <v>746.61243200000001</v>
      </c>
      <c r="AD144" s="54" t="s">
        <v>178</v>
      </c>
      <c r="AE144" s="54"/>
    </row>
    <row r="145" spans="1:31" s="135" customFormat="1" ht="52.8" x14ac:dyDescent="0.3">
      <c r="A145" s="54" t="s">
        <v>582</v>
      </c>
      <c r="B145" s="54">
        <v>2383</v>
      </c>
      <c r="C145" s="54" t="s">
        <v>101</v>
      </c>
      <c r="D145" s="54" t="s">
        <v>399</v>
      </c>
      <c r="E145" s="54" t="s">
        <v>535</v>
      </c>
      <c r="F145" s="54" t="s">
        <v>15</v>
      </c>
      <c r="G145" s="54" t="s">
        <v>500</v>
      </c>
      <c r="H145" s="54" t="s">
        <v>106</v>
      </c>
      <c r="I145" s="54" t="s">
        <v>2</v>
      </c>
      <c r="J145" s="90" t="s">
        <v>399</v>
      </c>
      <c r="K145" s="90" t="s">
        <v>76</v>
      </c>
      <c r="L145" s="92">
        <v>9377.908998913872</v>
      </c>
      <c r="M145" s="92">
        <v>1464.9327200455059</v>
      </c>
      <c r="N145" s="54" t="s">
        <v>764</v>
      </c>
      <c r="O145" s="92">
        <v>32555</v>
      </c>
      <c r="P145" s="84" t="s">
        <v>399</v>
      </c>
      <c r="Q145" s="84" t="s">
        <v>399</v>
      </c>
      <c r="R145" s="54" t="s">
        <v>399</v>
      </c>
      <c r="S145" s="90" t="s">
        <v>399</v>
      </c>
      <c r="T145" s="54" t="s">
        <v>178</v>
      </c>
      <c r="U145" s="113" t="s">
        <v>399</v>
      </c>
      <c r="V145" s="90" t="s">
        <v>399</v>
      </c>
      <c r="W145" s="90" t="s">
        <v>399</v>
      </c>
      <c r="X145" s="90" t="s">
        <v>178</v>
      </c>
      <c r="Y145" s="90"/>
      <c r="Z145" s="54" t="s">
        <v>443</v>
      </c>
      <c r="AA145" s="54" t="s">
        <v>2</v>
      </c>
      <c r="AB145" s="54">
        <v>2012</v>
      </c>
      <c r="AC145" s="92">
        <v>3601.5204800000001</v>
      </c>
      <c r="AD145" s="54" t="s">
        <v>178</v>
      </c>
      <c r="AE145" s="54"/>
    </row>
    <row r="146" spans="1:31" s="135" customFormat="1" ht="52.8" x14ac:dyDescent="0.3">
      <c r="A146" s="54" t="s">
        <v>582</v>
      </c>
      <c r="B146" s="54">
        <v>2385</v>
      </c>
      <c r="C146" s="54" t="s">
        <v>101</v>
      </c>
      <c r="D146" s="54" t="s">
        <v>399</v>
      </c>
      <c r="E146" s="54" t="s">
        <v>536</v>
      </c>
      <c r="F146" s="54" t="s">
        <v>25</v>
      </c>
      <c r="G146" s="54" t="s">
        <v>359</v>
      </c>
      <c r="H146" s="54" t="s">
        <v>106</v>
      </c>
      <c r="I146" s="54" t="s">
        <v>2</v>
      </c>
      <c r="J146" s="90" t="s">
        <v>399</v>
      </c>
      <c r="K146" s="90" t="s">
        <v>76</v>
      </c>
      <c r="L146" s="92">
        <v>8909.0135489681779</v>
      </c>
      <c r="M146" s="92">
        <v>1391.6860840432307</v>
      </c>
      <c r="N146" s="54" t="s">
        <v>764</v>
      </c>
      <c r="O146" s="92">
        <v>32555</v>
      </c>
      <c r="P146" s="84" t="s">
        <v>399</v>
      </c>
      <c r="Q146" s="84" t="s">
        <v>399</v>
      </c>
      <c r="R146" s="54" t="s">
        <v>399</v>
      </c>
      <c r="S146" s="90" t="s">
        <v>399</v>
      </c>
      <c r="T146" s="54" t="s">
        <v>178</v>
      </c>
      <c r="U146" s="113" t="s">
        <v>399</v>
      </c>
      <c r="V146" s="90" t="s">
        <v>399</v>
      </c>
      <c r="W146" s="90" t="s">
        <v>399</v>
      </c>
      <c r="X146" s="90" t="s">
        <v>178</v>
      </c>
      <c r="Y146" s="90"/>
      <c r="Z146" s="54" t="s">
        <v>443</v>
      </c>
      <c r="AA146" s="54" t="s">
        <v>2</v>
      </c>
      <c r="AB146" s="54">
        <v>2012</v>
      </c>
      <c r="AC146" s="92">
        <v>3421.4444560000002</v>
      </c>
      <c r="AD146" s="54" t="s">
        <v>178</v>
      </c>
      <c r="AE146" s="54"/>
    </row>
    <row r="147" spans="1:31" ht="39.6" x14ac:dyDescent="0.3">
      <c r="A147" s="54" t="s">
        <v>582</v>
      </c>
      <c r="B147" s="54">
        <v>2387</v>
      </c>
      <c r="C147" s="54" t="s">
        <v>101</v>
      </c>
      <c r="D147" s="54" t="s">
        <v>399</v>
      </c>
      <c r="E147" s="54" t="s">
        <v>537</v>
      </c>
      <c r="F147" s="54" t="s">
        <v>255</v>
      </c>
      <c r="G147" s="54" t="s">
        <v>98</v>
      </c>
      <c r="H147" s="54" t="s">
        <v>106</v>
      </c>
      <c r="I147" s="54" t="s">
        <v>2</v>
      </c>
      <c r="J147" s="90" t="s">
        <v>399</v>
      </c>
      <c r="K147" s="90" t="s">
        <v>76</v>
      </c>
      <c r="L147" s="92" t="s">
        <v>114</v>
      </c>
      <c r="M147" s="92" t="s">
        <v>114</v>
      </c>
      <c r="N147" s="54" t="s">
        <v>103</v>
      </c>
      <c r="O147" s="92">
        <v>32555</v>
      </c>
      <c r="P147" s="84" t="s">
        <v>399</v>
      </c>
      <c r="Q147" s="84" t="s">
        <v>399</v>
      </c>
      <c r="R147" s="54" t="s">
        <v>399</v>
      </c>
      <c r="S147" s="90" t="s">
        <v>399</v>
      </c>
      <c r="T147" s="54" t="s">
        <v>178</v>
      </c>
      <c r="U147" s="113" t="s">
        <v>399</v>
      </c>
      <c r="V147" s="90" t="s">
        <v>1114</v>
      </c>
      <c r="W147" s="90" t="s">
        <v>1254</v>
      </c>
      <c r="X147" s="90" t="s">
        <v>178</v>
      </c>
      <c r="Y147" s="90"/>
      <c r="Z147" s="54" t="s">
        <v>443</v>
      </c>
      <c r="AA147" s="54" t="s">
        <v>2</v>
      </c>
      <c r="AB147" s="54">
        <v>2012</v>
      </c>
      <c r="AC147" s="92">
        <v>2123.717744</v>
      </c>
      <c r="AD147" s="54" t="s">
        <v>178</v>
      </c>
      <c r="AE147" s="54"/>
    </row>
    <row r="148" spans="1:31" ht="39.6" x14ac:dyDescent="0.3">
      <c r="A148" s="54" t="s">
        <v>582</v>
      </c>
      <c r="B148" s="54">
        <v>2354</v>
      </c>
      <c r="C148" s="54" t="s">
        <v>101</v>
      </c>
      <c r="D148" s="54" t="s">
        <v>399</v>
      </c>
      <c r="E148" s="54" t="s">
        <v>531</v>
      </c>
      <c r="F148" s="54" t="s">
        <v>26</v>
      </c>
      <c r="G148" s="54" t="s">
        <v>131</v>
      </c>
      <c r="H148" s="54" t="s">
        <v>116</v>
      </c>
      <c r="I148" s="54" t="s">
        <v>2</v>
      </c>
      <c r="J148" s="90" t="s">
        <v>399</v>
      </c>
      <c r="K148" s="90" t="s">
        <v>76</v>
      </c>
      <c r="L148" s="92">
        <v>7942.2942934720131</v>
      </c>
      <c r="M148" s="92">
        <v>1715.8112762205844</v>
      </c>
      <c r="N148" s="54" t="s">
        <v>103</v>
      </c>
      <c r="O148" s="92">
        <v>5.0199999999999996</v>
      </c>
      <c r="P148" s="84" t="s">
        <v>399</v>
      </c>
      <c r="Q148" s="84" t="s">
        <v>399</v>
      </c>
      <c r="R148" s="54" t="s">
        <v>399</v>
      </c>
      <c r="S148" s="90" t="s">
        <v>399</v>
      </c>
      <c r="T148" s="54" t="s">
        <v>178</v>
      </c>
      <c r="U148" s="113" t="s">
        <v>399</v>
      </c>
      <c r="V148" s="90" t="s">
        <v>1115</v>
      </c>
      <c r="W148" s="90" t="s">
        <v>1255</v>
      </c>
      <c r="X148" s="90" t="s">
        <v>178</v>
      </c>
      <c r="Y148" s="90"/>
      <c r="Z148" s="54" t="s">
        <v>443</v>
      </c>
      <c r="AA148" s="54" t="s">
        <v>2</v>
      </c>
      <c r="AB148" s="54">
        <v>2012</v>
      </c>
      <c r="AC148" s="92">
        <v>17.808021919999998</v>
      </c>
      <c r="AD148" s="54" t="s">
        <v>178</v>
      </c>
      <c r="AE148" s="54"/>
    </row>
    <row r="149" spans="1:31" ht="39.6" x14ac:dyDescent="0.3">
      <c r="A149" s="54" t="s">
        <v>582</v>
      </c>
      <c r="B149" s="54">
        <v>2352</v>
      </c>
      <c r="C149" s="54" t="s">
        <v>101</v>
      </c>
      <c r="D149" s="54" t="s">
        <v>399</v>
      </c>
      <c r="E149" s="54" t="s">
        <v>530</v>
      </c>
      <c r="F149" s="54" t="s">
        <v>27</v>
      </c>
      <c r="G149" s="54" t="s">
        <v>125</v>
      </c>
      <c r="H149" s="54" t="s">
        <v>108</v>
      </c>
      <c r="I149" s="54" t="s">
        <v>2</v>
      </c>
      <c r="J149" s="90" t="s">
        <v>399</v>
      </c>
      <c r="K149" s="90" t="s">
        <v>873</v>
      </c>
      <c r="L149" s="92">
        <v>819.06950398826666</v>
      </c>
      <c r="M149" s="92">
        <v>127.17501865455264</v>
      </c>
      <c r="N149" s="54" t="s">
        <v>103</v>
      </c>
      <c r="O149" s="92">
        <v>32555</v>
      </c>
      <c r="P149" s="116" t="s">
        <v>399</v>
      </c>
      <c r="Q149" s="84" t="s">
        <v>399</v>
      </c>
      <c r="R149" s="54" t="s">
        <v>399</v>
      </c>
      <c r="S149" s="90" t="s">
        <v>399</v>
      </c>
      <c r="T149" s="54" t="s">
        <v>178</v>
      </c>
      <c r="U149" s="113" t="s">
        <v>399</v>
      </c>
      <c r="V149" s="90" t="s">
        <v>1116</v>
      </c>
      <c r="W149" s="90" t="s">
        <v>1256</v>
      </c>
      <c r="X149" s="90" t="s">
        <v>178</v>
      </c>
      <c r="Y149" s="90"/>
      <c r="Z149" s="54" t="s">
        <v>443</v>
      </c>
      <c r="AA149" s="54" t="s">
        <v>2</v>
      </c>
      <c r="AB149" s="54">
        <v>2012</v>
      </c>
      <c r="AC149" s="92">
        <v>615.52434400000004</v>
      </c>
      <c r="AD149" s="54" t="s">
        <v>178</v>
      </c>
      <c r="AE149" s="54"/>
    </row>
    <row r="150" spans="1:31" ht="39.6" x14ac:dyDescent="0.3">
      <c r="A150" s="54" t="s">
        <v>582</v>
      </c>
      <c r="B150" s="54">
        <v>2377</v>
      </c>
      <c r="C150" s="54" t="s">
        <v>101</v>
      </c>
      <c r="D150" s="54" t="s">
        <v>360</v>
      </c>
      <c r="E150" s="54" t="s">
        <v>533</v>
      </c>
      <c r="F150" s="54" t="s">
        <v>291</v>
      </c>
      <c r="G150" s="54" t="s">
        <v>111</v>
      </c>
      <c r="H150" s="94" t="s">
        <v>106</v>
      </c>
      <c r="I150" s="54" t="s">
        <v>2</v>
      </c>
      <c r="J150" s="90" t="s">
        <v>955</v>
      </c>
      <c r="K150" s="90" t="s">
        <v>794</v>
      </c>
      <c r="L150" s="92">
        <v>5550.986471295053</v>
      </c>
      <c r="M150" s="92">
        <v>935.11069335242212</v>
      </c>
      <c r="N150" s="54" t="s">
        <v>103</v>
      </c>
      <c r="O150" s="92">
        <v>5760</v>
      </c>
      <c r="P150" s="49">
        <v>2532311.3199999998</v>
      </c>
      <c r="Q150" s="84" t="s">
        <v>399</v>
      </c>
      <c r="R150" s="54" t="s">
        <v>360</v>
      </c>
      <c r="S150" s="90" t="s">
        <v>513</v>
      </c>
      <c r="T150" s="54" t="s">
        <v>100</v>
      </c>
      <c r="U150" s="113" t="s">
        <v>178</v>
      </c>
      <c r="V150" s="90" t="s">
        <v>1117</v>
      </c>
      <c r="W150" s="90" t="s">
        <v>1257</v>
      </c>
      <c r="X150" s="90" t="s">
        <v>178</v>
      </c>
      <c r="Y150" s="90"/>
      <c r="Z150" s="54" t="s">
        <v>443</v>
      </c>
      <c r="AA150" s="54"/>
      <c r="AB150" s="54">
        <v>2016</v>
      </c>
      <c r="AC150" s="92">
        <v>895.8442</v>
      </c>
      <c r="AD150" s="54" t="s">
        <v>178</v>
      </c>
      <c r="AE150" s="54"/>
    </row>
    <row r="151" spans="1:31" ht="39.6" x14ac:dyDescent="0.3">
      <c r="A151" s="54" t="s">
        <v>582</v>
      </c>
      <c r="B151" s="54">
        <v>2344</v>
      </c>
      <c r="C151" s="54" t="s">
        <v>101</v>
      </c>
      <c r="D151" s="54" t="s">
        <v>178</v>
      </c>
      <c r="E151" s="54" t="s">
        <v>526</v>
      </c>
      <c r="F151" s="54" t="s">
        <v>294</v>
      </c>
      <c r="G151" s="54" t="s">
        <v>84</v>
      </c>
      <c r="H151" s="54" t="s">
        <v>106</v>
      </c>
      <c r="I151" s="54" t="s">
        <v>2</v>
      </c>
      <c r="J151" s="90" t="s">
        <v>955</v>
      </c>
      <c r="K151" s="90" t="s">
        <v>794</v>
      </c>
      <c r="L151" s="92">
        <v>415.70182472888177</v>
      </c>
      <c r="M151" s="92">
        <v>61.421911762441724</v>
      </c>
      <c r="N151" s="54" t="s">
        <v>103</v>
      </c>
      <c r="O151" s="92">
        <v>640</v>
      </c>
      <c r="P151" s="49">
        <v>400000</v>
      </c>
      <c r="Q151" s="49">
        <v>15000</v>
      </c>
      <c r="R151" s="54" t="s">
        <v>503</v>
      </c>
      <c r="S151" s="90" t="s">
        <v>727</v>
      </c>
      <c r="T151" s="54" t="s">
        <v>178</v>
      </c>
      <c r="U151" s="113" t="s">
        <v>178</v>
      </c>
      <c r="V151" s="102" t="s">
        <v>1118</v>
      </c>
      <c r="W151" s="102" t="s">
        <v>1258</v>
      </c>
      <c r="X151" s="90" t="s">
        <v>178</v>
      </c>
      <c r="Y151" s="90"/>
      <c r="Z151" s="54" t="s">
        <v>443</v>
      </c>
      <c r="AA151" s="54"/>
      <c r="AB151" s="54">
        <v>2017</v>
      </c>
      <c r="AC151" s="92">
        <v>147.19060400000001</v>
      </c>
      <c r="AD151" s="54" t="s">
        <v>178</v>
      </c>
      <c r="AE151" s="54"/>
    </row>
    <row r="152" spans="1:31" ht="52.8" x14ac:dyDescent="0.3">
      <c r="A152" s="54" t="s">
        <v>582</v>
      </c>
      <c r="B152" s="54">
        <v>2363</v>
      </c>
      <c r="C152" s="54" t="s">
        <v>101</v>
      </c>
      <c r="D152" s="54" t="s">
        <v>183</v>
      </c>
      <c r="E152" s="54" t="s">
        <v>532</v>
      </c>
      <c r="F152" s="54" t="s">
        <v>179</v>
      </c>
      <c r="G152" s="54" t="s">
        <v>125</v>
      </c>
      <c r="H152" s="54" t="s">
        <v>108</v>
      </c>
      <c r="I152" s="54" t="s">
        <v>322</v>
      </c>
      <c r="J152" s="90" t="s">
        <v>794</v>
      </c>
      <c r="K152" s="90" t="s">
        <v>860</v>
      </c>
      <c r="L152" s="92">
        <v>738.80069259741651</v>
      </c>
      <c r="M152" s="92">
        <v>108.86181596829707</v>
      </c>
      <c r="N152" s="54" t="s">
        <v>103</v>
      </c>
      <c r="O152" s="92">
        <v>32555</v>
      </c>
      <c r="P152" s="49">
        <v>500000</v>
      </c>
      <c r="Q152" s="49" t="s">
        <v>114</v>
      </c>
      <c r="R152" s="54" t="s">
        <v>181</v>
      </c>
      <c r="S152" s="90" t="s">
        <v>514</v>
      </c>
      <c r="T152" s="54" t="s">
        <v>178</v>
      </c>
      <c r="U152" s="113" t="s">
        <v>399</v>
      </c>
      <c r="V152" s="90" t="s">
        <v>1119</v>
      </c>
      <c r="W152" s="90" t="s">
        <v>1259</v>
      </c>
      <c r="X152" s="90" t="s">
        <v>178</v>
      </c>
      <c r="Y152" s="90"/>
      <c r="Z152" s="54" t="s">
        <v>443</v>
      </c>
      <c r="AA152" s="54" t="s">
        <v>180</v>
      </c>
      <c r="AB152" s="54">
        <v>2017</v>
      </c>
      <c r="AC152" s="92">
        <v>2239.8372960000002</v>
      </c>
      <c r="AD152" s="54" t="s">
        <v>178</v>
      </c>
      <c r="AE152" s="54">
        <v>2</v>
      </c>
    </row>
    <row r="153" spans="1:31" ht="66" x14ac:dyDescent="0.3">
      <c r="A153" s="54" t="s">
        <v>582</v>
      </c>
      <c r="B153" s="54">
        <v>2348</v>
      </c>
      <c r="C153" s="54" t="s">
        <v>101</v>
      </c>
      <c r="D153" s="54" t="s">
        <v>184</v>
      </c>
      <c r="E153" s="54" t="s">
        <v>529</v>
      </c>
      <c r="F153" s="54" t="s">
        <v>42</v>
      </c>
      <c r="G153" s="54" t="s">
        <v>131</v>
      </c>
      <c r="H153" s="54" t="s">
        <v>116</v>
      </c>
      <c r="I153" s="54" t="s">
        <v>322</v>
      </c>
      <c r="J153" s="90" t="s">
        <v>794</v>
      </c>
      <c r="K153" s="90" t="s">
        <v>798</v>
      </c>
      <c r="L153" s="92" t="s">
        <v>114</v>
      </c>
      <c r="M153" s="92" t="s">
        <v>114</v>
      </c>
      <c r="N153" s="54" t="s">
        <v>103</v>
      </c>
      <c r="O153" s="92">
        <v>32555</v>
      </c>
      <c r="P153" s="49">
        <v>12000000</v>
      </c>
      <c r="Q153" s="49" t="s">
        <v>114</v>
      </c>
      <c r="R153" s="54" t="s">
        <v>182</v>
      </c>
      <c r="S153" s="90" t="s">
        <v>515</v>
      </c>
      <c r="T153" s="54" t="s">
        <v>178</v>
      </c>
      <c r="U153" s="113" t="s">
        <v>399</v>
      </c>
      <c r="V153" s="90" t="s">
        <v>1120</v>
      </c>
      <c r="W153" s="90" t="s">
        <v>1260</v>
      </c>
      <c r="X153" s="90" t="s">
        <v>178</v>
      </c>
      <c r="Y153" s="90"/>
      <c r="Z153" s="54" t="s">
        <v>443</v>
      </c>
      <c r="AA153" s="54"/>
      <c r="AB153" s="54">
        <v>2017</v>
      </c>
      <c r="AC153" s="92">
        <v>913.98788000000002</v>
      </c>
      <c r="AD153" s="54" t="s">
        <v>178</v>
      </c>
      <c r="AE153" s="54">
        <v>3</v>
      </c>
    </row>
    <row r="154" spans="1:31" ht="39.6" x14ac:dyDescent="0.3">
      <c r="A154" s="54" t="s">
        <v>582</v>
      </c>
      <c r="B154" s="54">
        <v>2347</v>
      </c>
      <c r="C154" s="54" t="s">
        <v>101</v>
      </c>
      <c r="D154" s="54" t="s">
        <v>512</v>
      </c>
      <c r="E154" s="54" t="s">
        <v>528</v>
      </c>
      <c r="F154" s="54" t="s">
        <v>328</v>
      </c>
      <c r="G154" s="54" t="s">
        <v>346</v>
      </c>
      <c r="H154" s="54" t="s">
        <v>106</v>
      </c>
      <c r="I154" s="54" t="s">
        <v>322</v>
      </c>
      <c r="J154" s="90" t="s">
        <v>860</v>
      </c>
      <c r="K154" s="90" t="s">
        <v>949</v>
      </c>
      <c r="L154" s="136">
        <v>75.722903126017727</v>
      </c>
      <c r="M154" s="136">
        <v>7.7905534450236535</v>
      </c>
      <c r="N154" s="54" t="s">
        <v>763</v>
      </c>
      <c r="O154" s="92">
        <v>1100</v>
      </c>
      <c r="P154" s="49">
        <v>675000</v>
      </c>
      <c r="Q154" s="49" t="s">
        <v>114</v>
      </c>
      <c r="R154" s="54" t="s">
        <v>361</v>
      </c>
      <c r="S154" s="90" t="s">
        <v>114</v>
      </c>
      <c r="T154" s="49" t="s">
        <v>114</v>
      </c>
      <c r="U154" s="113" t="s">
        <v>178</v>
      </c>
      <c r="V154" s="102" t="s">
        <v>399</v>
      </c>
      <c r="W154" s="102" t="s">
        <v>399</v>
      </c>
      <c r="X154" s="90" t="s">
        <v>178</v>
      </c>
      <c r="Y154" s="90"/>
      <c r="Z154" s="54" t="s">
        <v>443</v>
      </c>
      <c r="AA154" s="54"/>
      <c r="AB154" s="54">
        <v>2017</v>
      </c>
      <c r="AC154" s="49" t="s">
        <v>114</v>
      </c>
      <c r="AD154" s="49" t="s">
        <v>114</v>
      </c>
      <c r="AE154" s="54"/>
    </row>
    <row r="155" spans="1:31" ht="39.6" x14ac:dyDescent="0.3">
      <c r="A155" s="54" t="s">
        <v>582</v>
      </c>
      <c r="B155" s="54">
        <v>2346</v>
      </c>
      <c r="C155" s="54" t="s">
        <v>101</v>
      </c>
      <c r="D155" s="54" t="s">
        <v>59</v>
      </c>
      <c r="E155" s="54" t="s">
        <v>527</v>
      </c>
      <c r="F155" s="54" t="s">
        <v>329</v>
      </c>
      <c r="G155" s="54" t="s">
        <v>347</v>
      </c>
      <c r="H155" s="54" t="s">
        <v>116</v>
      </c>
      <c r="I155" s="54" t="s">
        <v>322</v>
      </c>
      <c r="J155" s="90" t="s">
        <v>798</v>
      </c>
      <c r="K155" s="90" t="s">
        <v>950</v>
      </c>
      <c r="L155" s="136" t="s">
        <v>114</v>
      </c>
      <c r="M155" s="136" t="s">
        <v>114</v>
      </c>
      <c r="N155" s="54" t="s">
        <v>763</v>
      </c>
      <c r="O155" s="92">
        <v>4100</v>
      </c>
      <c r="P155" s="49">
        <v>5000000</v>
      </c>
      <c r="Q155" s="49" t="s">
        <v>114</v>
      </c>
      <c r="R155" s="54" t="s">
        <v>362</v>
      </c>
      <c r="S155" s="90" t="s">
        <v>114</v>
      </c>
      <c r="T155" s="49" t="s">
        <v>114</v>
      </c>
      <c r="U155" s="113" t="s">
        <v>178</v>
      </c>
      <c r="V155" s="90" t="s">
        <v>1121</v>
      </c>
      <c r="W155" s="90" t="s">
        <v>1261</v>
      </c>
      <c r="X155" s="90" t="s">
        <v>178</v>
      </c>
      <c r="Y155" s="90"/>
      <c r="Z155" s="54" t="s">
        <v>443</v>
      </c>
      <c r="AA155" s="54"/>
      <c r="AB155" s="54">
        <v>2017</v>
      </c>
      <c r="AC155" s="49" t="s">
        <v>114</v>
      </c>
      <c r="AD155" s="49" t="s">
        <v>114</v>
      </c>
      <c r="AE155" s="54"/>
    </row>
    <row r="156" spans="1:31" ht="26.4" x14ac:dyDescent="0.3">
      <c r="A156" s="54" t="s">
        <v>582</v>
      </c>
      <c r="B156" s="54">
        <v>2282</v>
      </c>
      <c r="C156" s="54" t="s">
        <v>28</v>
      </c>
      <c r="D156" s="54" t="s">
        <v>178</v>
      </c>
      <c r="E156" s="54" t="s">
        <v>167</v>
      </c>
      <c r="F156" s="54" t="s">
        <v>29</v>
      </c>
      <c r="G156" s="54" t="s">
        <v>85</v>
      </c>
      <c r="H156" s="54" t="s">
        <v>473</v>
      </c>
      <c r="I156" s="54" t="s">
        <v>2</v>
      </c>
      <c r="J156" s="61" t="s">
        <v>757</v>
      </c>
      <c r="K156" s="102" t="s">
        <v>757</v>
      </c>
      <c r="L156" s="92">
        <v>66.05215954825394</v>
      </c>
      <c r="M156" s="92">
        <v>30.922124601592543</v>
      </c>
      <c r="N156" s="54" t="s">
        <v>103</v>
      </c>
      <c r="O156" s="92">
        <v>220</v>
      </c>
      <c r="P156" s="49">
        <v>3323506</v>
      </c>
      <c r="Q156" s="49">
        <v>11703</v>
      </c>
      <c r="R156" s="54" t="s">
        <v>336</v>
      </c>
      <c r="S156" s="90" t="s">
        <v>728</v>
      </c>
      <c r="T156" s="54" t="s">
        <v>178</v>
      </c>
      <c r="U156" s="59" t="s">
        <v>178</v>
      </c>
      <c r="V156" s="90" t="s">
        <v>1122</v>
      </c>
      <c r="W156" s="90" t="s">
        <v>1262</v>
      </c>
      <c r="X156" s="90" t="s">
        <v>178</v>
      </c>
      <c r="Y156" s="90"/>
      <c r="Z156" s="54" t="s">
        <v>446</v>
      </c>
      <c r="AA156" s="54" t="s">
        <v>2</v>
      </c>
      <c r="AB156" s="54">
        <v>2012</v>
      </c>
      <c r="AC156" s="92">
        <v>14.514944</v>
      </c>
      <c r="AD156" s="54" t="s">
        <v>178</v>
      </c>
      <c r="AE156" s="54"/>
    </row>
    <row r="157" spans="1:31" ht="26.4" x14ac:dyDescent="0.3">
      <c r="A157" s="54" t="s">
        <v>582</v>
      </c>
      <c r="B157" s="54">
        <v>2293</v>
      </c>
      <c r="C157" s="54" t="s">
        <v>28</v>
      </c>
      <c r="D157" s="54" t="s">
        <v>178</v>
      </c>
      <c r="E157" s="54" t="s">
        <v>168</v>
      </c>
      <c r="F157" s="54" t="s">
        <v>30</v>
      </c>
      <c r="G157" s="54" t="s">
        <v>85</v>
      </c>
      <c r="H157" s="54" t="s">
        <v>473</v>
      </c>
      <c r="I157" s="54" t="s">
        <v>2</v>
      </c>
      <c r="J157" s="61" t="s">
        <v>757</v>
      </c>
      <c r="K157" s="102" t="s">
        <v>757</v>
      </c>
      <c r="L157" s="92">
        <v>46.555076842230449</v>
      </c>
      <c r="M157" s="92">
        <v>1.6464117536248359</v>
      </c>
      <c r="N157" s="54" t="s">
        <v>103</v>
      </c>
      <c r="O157" s="92">
        <v>50.7</v>
      </c>
      <c r="P157" s="49">
        <v>2500000</v>
      </c>
      <c r="Q157" s="49" t="s">
        <v>178</v>
      </c>
      <c r="R157" s="54" t="s">
        <v>336</v>
      </c>
      <c r="S157" s="90" t="s">
        <v>729</v>
      </c>
      <c r="T157" s="54" t="s">
        <v>178</v>
      </c>
      <c r="U157" s="59" t="s">
        <v>178</v>
      </c>
      <c r="V157" s="90" t="s">
        <v>1123</v>
      </c>
      <c r="W157" s="90" t="s">
        <v>1263</v>
      </c>
      <c r="X157" s="90" t="s">
        <v>178</v>
      </c>
      <c r="Y157" s="90"/>
      <c r="Z157" s="54" t="s">
        <v>446</v>
      </c>
      <c r="AA157" s="54" t="s">
        <v>2</v>
      </c>
      <c r="AB157" s="54">
        <v>2012</v>
      </c>
      <c r="AC157" s="92">
        <v>7.7110640000000004</v>
      </c>
      <c r="AD157" s="54" t="s">
        <v>178</v>
      </c>
      <c r="AE157" s="54"/>
    </row>
    <row r="158" spans="1:31" x14ac:dyDescent="0.3">
      <c r="A158" s="54" t="s">
        <v>582</v>
      </c>
      <c r="B158" s="54">
        <v>2284</v>
      </c>
      <c r="C158" s="54" t="s">
        <v>28</v>
      </c>
      <c r="D158" s="54" t="s">
        <v>183</v>
      </c>
      <c r="E158" s="54" t="s">
        <v>169</v>
      </c>
      <c r="F158" s="54" t="s">
        <v>31</v>
      </c>
      <c r="G158" s="54" t="s">
        <v>85</v>
      </c>
      <c r="H158" s="54" t="s">
        <v>473</v>
      </c>
      <c r="I158" s="54" t="s">
        <v>2</v>
      </c>
      <c r="J158" s="61" t="s">
        <v>757</v>
      </c>
      <c r="K158" s="102" t="s">
        <v>757</v>
      </c>
      <c r="L158" s="92">
        <v>1625.8593484607027</v>
      </c>
      <c r="M158" s="92">
        <v>58.864275999135259</v>
      </c>
      <c r="N158" s="54" t="s">
        <v>103</v>
      </c>
      <c r="O158" s="92">
        <v>1219</v>
      </c>
      <c r="P158" s="50">
        <v>71475196</v>
      </c>
      <c r="Q158" s="50">
        <v>149212</v>
      </c>
      <c r="R158" s="54" t="s">
        <v>382</v>
      </c>
      <c r="S158" s="90" t="s">
        <v>399</v>
      </c>
      <c r="T158" s="54" t="s">
        <v>178</v>
      </c>
      <c r="U158" s="59" t="s">
        <v>178</v>
      </c>
      <c r="V158" s="182" t="s">
        <v>1030</v>
      </c>
      <c r="W158" s="182" t="s">
        <v>1264</v>
      </c>
      <c r="X158" s="90" t="s">
        <v>178</v>
      </c>
      <c r="Y158" s="90"/>
      <c r="Z158" s="54" t="s">
        <v>446</v>
      </c>
      <c r="AA158" s="54" t="s">
        <v>2</v>
      </c>
      <c r="AB158" s="54">
        <v>2012</v>
      </c>
      <c r="AC158" s="92">
        <v>5.8966960000000004</v>
      </c>
      <c r="AD158" s="54" t="s">
        <v>178</v>
      </c>
      <c r="AE158" s="54"/>
    </row>
    <row r="159" spans="1:31" ht="66" x14ac:dyDescent="0.3">
      <c r="A159" s="54" t="s">
        <v>582</v>
      </c>
      <c r="B159" s="54">
        <v>2275</v>
      </c>
      <c r="C159" s="54" t="s">
        <v>28</v>
      </c>
      <c r="D159" s="54" t="s">
        <v>381</v>
      </c>
      <c r="E159" s="93" t="s">
        <v>170</v>
      </c>
      <c r="F159" s="93" t="s">
        <v>32</v>
      </c>
      <c r="G159" s="93" t="s">
        <v>85</v>
      </c>
      <c r="H159" s="54" t="s">
        <v>473</v>
      </c>
      <c r="I159" s="93" t="s">
        <v>2</v>
      </c>
      <c r="J159" s="61" t="s">
        <v>757</v>
      </c>
      <c r="K159" s="102" t="s">
        <v>757</v>
      </c>
      <c r="L159" s="92">
        <v>14714.028783389726</v>
      </c>
      <c r="M159" s="92">
        <v>495.26794306448346</v>
      </c>
      <c r="N159" s="122" t="s">
        <v>764</v>
      </c>
      <c r="O159" s="92">
        <v>1978.9</v>
      </c>
      <c r="P159" s="49">
        <v>41538620</v>
      </c>
      <c r="Q159" s="49">
        <v>639924</v>
      </c>
      <c r="R159" s="54" t="s">
        <v>383</v>
      </c>
      <c r="S159" s="90" t="s">
        <v>399</v>
      </c>
      <c r="T159" s="54" t="s">
        <v>178</v>
      </c>
      <c r="U159" s="59" t="s">
        <v>178</v>
      </c>
      <c r="V159" s="90" t="s">
        <v>1124</v>
      </c>
      <c r="W159" s="90" t="s">
        <v>1265</v>
      </c>
      <c r="X159" s="90" t="s">
        <v>178</v>
      </c>
      <c r="Y159" s="98"/>
      <c r="Z159" s="93" t="s">
        <v>446</v>
      </c>
      <c r="AA159" s="54" t="s">
        <v>2</v>
      </c>
      <c r="AB159" s="54">
        <v>2012</v>
      </c>
      <c r="AC159" s="92">
        <v>0</v>
      </c>
      <c r="AD159" s="54" t="s">
        <v>178</v>
      </c>
      <c r="AE159" s="54"/>
    </row>
    <row r="160" spans="1:31" ht="26.4" x14ac:dyDescent="0.3">
      <c r="A160" s="54" t="s">
        <v>582</v>
      </c>
      <c r="B160" s="54">
        <v>2286</v>
      </c>
      <c r="C160" s="54" t="s">
        <v>28</v>
      </c>
      <c r="D160" s="54" t="s">
        <v>178</v>
      </c>
      <c r="E160" s="54" t="s">
        <v>171</v>
      </c>
      <c r="F160" s="54" t="s">
        <v>33</v>
      </c>
      <c r="G160" s="54" t="s">
        <v>85</v>
      </c>
      <c r="H160" s="54" t="s">
        <v>473</v>
      </c>
      <c r="I160" s="54" t="s">
        <v>2</v>
      </c>
      <c r="J160" s="61" t="s">
        <v>757</v>
      </c>
      <c r="K160" s="102" t="s">
        <v>757</v>
      </c>
      <c r="L160" s="92">
        <v>1814.5154663232602</v>
      </c>
      <c r="M160" s="92">
        <v>68.357280409397674</v>
      </c>
      <c r="N160" s="54" t="s">
        <v>103</v>
      </c>
      <c r="O160" s="92">
        <v>575.5</v>
      </c>
      <c r="P160" s="49">
        <v>12584000</v>
      </c>
      <c r="Q160" s="49">
        <v>18708</v>
      </c>
      <c r="R160" s="54" t="s">
        <v>336</v>
      </c>
      <c r="S160" s="90" t="s">
        <v>730</v>
      </c>
      <c r="T160" s="54" t="s">
        <v>178</v>
      </c>
      <c r="U160" s="59" t="s">
        <v>178</v>
      </c>
      <c r="V160" s="90" t="s">
        <v>1125</v>
      </c>
      <c r="W160" s="90" t="s">
        <v>1266</v>
      </c>
      <c r="X160" s="90" t="s">
        <v>178</v>
      </c>
      <c r="Y160" s="90"/>
      <c r="Z160" s="54" t="s">
        <v>446</v>
      </c>
      <c r="AA160" s="54" t="s">
        <v>2</v>
      </c>
      <c r="AB160" s="54">
        <v>2012</v>
      </c>
      <c r="AC160" s="92">
        <v>5.8966960000000004</v>
      </c>
      <c r="AD160" s="54" t="s">
        <v>178</v>
      </c>
      <c r="AE160" s="54"/>
    </row>
    <row r="161" spans="1:31" ht="39.6" x14ac:dyDescent="0.3">
      <c r="A161" s="54" t="s">
        <v>582</v>
      </c>
      <c r="B161" s="54">
        <v>2287</v>
      </c>
      <c r="C161" s="54" t="s">
        <v>28</v>
      </c>
      <c r="D161" s="54" t="s">
        <v>384</v>
      </c>
      <c r="E161" s="54" t="s">
        <v>172</v>
      </c>
      <c r="F161" s="54" t="s">
        <v>268</v>
      </c>
      <c r="G161" s="54" t="s">
        <v>85</v>
      </c>
      <c r="H161" s="54" t="s">
        <v>473</v>
      </c>
      <c r="I161" s="54" t="s">
        <v>2</v>
      </c>
      <c r="J161" s="61" t="s">
        <v>757</v>
      </c>
      <c r="K161" s="102" t="s">
        <v>757</v>
      </c>
      <c r="L161" s="92">
        <v>88.542392779391776</v>
      </c>
      <c r="M161" s="92">
        <v>11.290510821573747</v>
      </c>
      <c r="N161" s="54" t="s">
        <v>103</v>
      </c>
      <c r="O161" s="92">
        <v>911.3</v>
      </c>
      <c r="P161" s="49">
        <v>8175706</v>
      </c>
      <c r="Q161" s="49">
        <v>81323</v>
      </c>
      <c r="R161" s="54" t="s">
        <v>336</v>
      </c>
      <c r="S161" s="154" t="s">
        <v>731</v>
      </c>
      <c r="T161" s="54" t="s">
        <v>178</v>
      </c>
      <c r="U161" s="59" t="s">
        <v>178</v>
      </c>
      <c r="V161" s="90" t="s">
        <v>1126</v>
      </c>
      <c r="W161" s="90" t="s">
        <v>1267</v>
      </c>
      <c r="X161" s="90" t="s">
        <v>178</v>
      </c>
      <c r="Y161" s="90"/>
      <c r="Z161" s="54" t="s">
        <v>446</v>
      </c>
      <c r="AA161" s="54" t="s">
        <v>2</v>
      </c>
      <c r="AB161" s="54">
        <v>2012</v>
      </c>
      <c r="AC161" s="92">
        <v>6.8038799999999995</v>
      </c>
      <c r="AD161" s="54" t="s">
        <v>178</v>
      </c>
      <c r="AE161" s="54"/>
    </row>
    <row r="162" spans="1:31" ht="26.4" x14ac:dyDescent="0.3">
      <c r="A162" s="54" t="s">
        <v>582</v>
      </c>
      <c r="B162" s="54">
        <v>2264</v>
      </c>
      <c r="C162" s="54" t="s">
        <v>28</v>
      </c>
      <c r="D162" s="54" t="s">
        <v>178</v>
      </c>
      <c r="E162" s="54" t="s">
        <v>173</v>
      </c>
      <c r="F162" s="54" t="s">
        <v>34</v>
      </c>
      <c r="G162" s="54" t="s">
        <v>85</v>
      </c>
      <c r="H162" s="54" t="s">
        <v>473</v>
      </c>
      <c r="I162" s="54" t="s">
        <v>2</v>
      </c>
      <c r="J162" s="61" t="s">
        <v>757</v>
      </c>
      <c r="K162" s="102" t="s">
        <v>757</v>
      </c>
      <c r="L162" s="92">
        <v>144.05997969276132</v>
      </c>
      <c r="M162" s="92">
        <v>10.42818769475538</v>
      </c>
      <c r="N162" s="54" t="s">
        <v>103</v>
      </c>
      <c r="O162" s="92">
        <v>117</v>
      </c>
      <c r="P162" s="49">
        <v>4475664.2300000004</v>
      </c>
      <c r="Q162" s="49">
        <v>9915</v>
      </c>
      <c r="R162" s="54" t="s">
        <v>336</v>
      </c>
      <c r="S162" s="156" t="s">
        <v>1013</v>
      </c>
      <c r="T162" s="54" t="s">
        <v>178</v>
      </c>
      <c r="U162" s="59" t="s">
        <v>178</v>
      </c>
      <c r="V162" s="90" t="s">
        <v>1127</v>
      </c>
      <c r="W162" s="90" t="s">
        <v>1268</v>
      </c>
      <c r="X162" s="90" t="s">
        <v>178</v>
      </c>
      <c r="Y162" s="90"/>
      <c r="Z162" s="54" t="s">
        <v>446</v>
      </c>
      <c r="AA162" s="54" t="s">
        <v>2</v>
      </c>
      <c r="AB162" s="54">
        <v>2012</v>
      </c>
      <c r="AC162" s="92">
        <v>1.360776</v>
      </c>
      <c r="AD162" s="54" t="s">
        <v>178</v>
      </c>
      <c r="AE162" s="54"/>
    </row>
    <row r="163" spans="1:31" x14ac:dyDescent="0.3">
      <c r="A163" s="54" t="s">
        <v>582</v>
      </c>
      <c r="B163" s="54">
        <v>2288</v>
      </c>
      <c r="C163" s="54" t="s">
        <v>28</v>
      </c>
      <c r="D163" s="54" t="s">
        <v>178</v>
      </c>
      <c r="E163" s="54" t="s">
        <v>174</v>
      </c>
      <c r="F163" s="54" t="s">
        <v>35</v>
      </c>
      <c r="G163" s="54" t="s">
        <v>85</v>
      </c>
      <c r="H163" s="54" t="s">
        <v>473</v>
      </c>
      <c r="I163" s="54" t="s">
        <v>2</v>
      </c>
      <c r="J163" s="61" t="s">
        <v>757</v>
      </c>
      <c r="K163" s="102" t="s">
        <v>757</v>
      </c>
      <c r="L163" s="92">
        <v>225.68547556334715</v>
      </c>
      <c r="M163" s="92">
        <v>8.517309877018878</v>
      </c>
      <c r="N163" s="54" t="s">
        <v>103</v>
      </c>
      <c r="O163" s="92">
        <v>67.2</v>
      </c>
      <c r="P163" s="49">
        <v>467000</v>
      </c>
      <c r="Q163" s="49">
        <v>3856</v>
      </c>
      <c r="R163" s="54" t="s">
        <v>336</v>
      </c>
      <c r="S163" s="154" t="s">
        <v>732</v>
      </c>
      <c r="T163" s="54" t="s">
        <v>178</v>
      </c>
      <c r="U163" s="59" t="s">
        <v>178</v>
      </c>
      <c r="V163" s="90" t="s">
        <v>1128</v>
      </c>
      <c r="W163" s="90" t="s">
        <v>1269</v>
      </c>
      <c r="X163" s="90" t="s">
        <v>178</v>
      </c>
      <c r="Y163" s="90"/>
      <c r="Z163" s="54" t="s">
        <v>446</v>
      </c>
      <c r="AA163" s="54" t="s">
        <v>2</v>
      </c>
      <c r="AB163" s="54">
        <v>2012</v>
      </c>
      <c r="AC163" s="92">
        <v>1.360776</v>
      </c>
      <c r="AD163" s="54" t="s">
        <v>178</v>
      </c>
      <c r="AE163" s="54"/>
    </row>
    <row r="164" spans="1:31" ht="26.4" x14ac:dyDescent="0.3">
      <c r="A164" s="54" t="s">
        <v>582</v>
      </c>
      <c r="B164" s="54">
        <v>2252</v>
      </c>
      <c r="C164" s="54" t="s">
        <v>28</v>
      </c>
      <c r="D164" s="54" t="s">
        <v>178</v>
      </c>
      <c r="E164" s="54" t="s">
        <v>175</v>
      </c>
      <c r="F164" s="54" t="s">
        <v>36</v>
      </c>
      <c r="G164" s="54" t="s">
        <v>85</v>
      </c>
      <c r="H164" s="54" t="s">
        <v>473</v>
      </c>
      <c r="I164" s="54" t="s">
        <v>2</v>
      </c>
      <c r="J164" s="61" t="s">
        <v>757</v>
      </c>
      <c r="K164" s="102" t="s">
        <v>757</v>
      </c>
      <c r="L164" s="92">
        <v>6.5437556569845583</v>
      </c>
      <c r="M164" s="92">
        <v>1.2870802112779369</v>
      </c>
      <c r="N164" s="54" t="s">
        <v>103</v>
      </c>
      <c r="O164" s="92">
        <v>59.1</v>
      </c>
      <c r="P164" s="49">
        <v>1755000</v>
      </c>
      <c r="Q164" s="49">
        <v>2966</v>
      </c>
      <c r="R164" s="54" t="s">
        <v>336</v>
      </c>
      <c r="S164" s="154" t="s">
        <v>733</v>
      </c>
      <c r="T164" s="54" t="s">
        <v>178</v>
      </c>
      <c r="U164" s="59" t="s">
        <v>178</v>
      </c>
      <c r="V164" s="90" t="s">
        <v>1129</v>
      </c>
      <c r="W164" s="90" t="s">
        <v>1270</v>
      </c>
      <c r="X164" s="90" t="s">
        <v>178</v>
      </c>
      <c r="Y164" s="90"/>
      <c r="Z164" s="54" t="s">
        <v>446</v>
      </c>
      <c r="AA164" s="54" t="s">
        <v>2</v>
      </c>
      <c r="AB164" s="54">
        <v>2012</v>
      </c>
      <c r="AC164" s="92">
        <v>1.360776</v>
      </c>
      <c r="AD164" s="54" t="s">
        <v>178</v>
      </c>
      <c r="AE164" s="54"/>
    </row>
    <row r="165" spans="1:31" ht="26.4" x14ac:dyDescent="0.3">
      <c r="A165" s="54" t="s">
        <v>582</v>
      </c>
      <c r="B165" s="54">
        <v>2290</v>
      </c>
      <c r="C165" s="54" t="s">
        <v>28</v>
      </c>
      <c r="D165" s="54" t="s">
        <v>385</v>
      </c>
      <c r="E165" s="54" t="s">
        <v>37</v>
      </c>
      <c r="F165" s="54" t="s">
        <v>38</v>
      </c>
      <c r="G165" s="54" t="s">
        <v>85</v>
      </c>
      <c r="H165" s="54" t="s">
        <v>473</v>
      </c>
      <c r="I165" s="54" t="s">
        <v>2</v>
      </c>
      <c r="J165" s="61" t="s">
        <v>757</v>
      </c>
      <c r="K165" s="102" t="s">
        <v>757</v>
      </c>
      <c r="L165" s="92">
        <v>7.4696171764458086E-2</v>
      </c>
      <c r="M165" s="92">
        <v>1.9789510702473478E-2</v>
      </c>
      <c r="N165" s="54" t="s">
        <v>103</v>
      </c>
      <c r="O165" s="92">
        <v>330.9</v>
      </c>
      <c r="P165" s="49">
        <v>11790529.949999999</v>
      </c>
      <c r="Q165" s="49">
        <v>190454</v>
      </c>
      <c r="R165" s="54" t="s">
        <v>336</v>
      </c>
      <c r="S165" s="156" t="s">
        <v>1014</v>
      </c>
      <c r="T165" s="54" t="s">
        <v>178</v>
      </c>
      <c r="U165" s="59" t="s">
        <v>178</v>
      </c>
      <c r="V165" s="90" t="s">
        <v>1130</v>
      </c>
      <c r="W165" s="90" t="s">
        <v>1271</v>
      </c>
      <c r="X165" s="90" t="s">
        <v>178</v>
      </c>
      <c r="Y165" s="90"/>
      <c r="Z165" s="54" t="s">
        <v>446</v>
      </c>
      <c r="AA165" s="54" t="s">
        <v>2</v>
      </c>
      <c r="AB165" s="54">
        <v>2012</v>
      </c>
      <c r="AC165" s="92">
        <v>1.360776</v>
      </c>
      <c r="AD165" s="54" t="s">
        <v>178</v>
      </c>
      <c r="AE165" s="54"/>
    </row>
    <row r="166" spans="1:31" ht="26.4" x14ac:dyDescent="0.3">
      <c r="A166" s="54" t="s">
        <v>582</v>
      </c>
      <c r="B166" s="54">
        <v>2291</v>
      </c>
      <c r="C166" s="54" t="s">
        <v>28</v>
      </c>
      <c r="D166" s="54" t="s">
        <v>178</v>
      </c>
      <c r="E166" s="54" t="s">
        <v>39</v>
      </c>
      <c r="F166" s="54" t="s">
        <v>40</v>
      </c>
      <c r="G166" s="54" t="s">
        <v>85</v>
      </c>
      <c r="H166" s="54" t="s">
        <v>473</v>
      </c>
      <c r="I166" s="54" t="s">
        <v>2</v>
      </c>
      <c r="J166" s="61" t="s">
        <v>757</v>
      </c>
      <c r="K166" s="102" t="s">
        <v>757</v>
      </c>
      <c r="L166" s="92">
        <v>4676.2257618141539</v>
      </c>
      <c r="M166" s="92">
        <v>139.67865558403116</v>
      </c>
      <c r="N166" s="54" t="s">
        <v>103</v>
      </c>
      <c r="O166" s="92">
        <v>1715.1</v>
      </c>
      <c r="P166" s="49">
        <v>23900000</v>
      </c>
      <c r="Q166" s="49">
        <v>54639</v>
      </c>
      <c r="R166" s="54" t="s">
        <v>336</v>
      </c>
      <c r="S166" s="154" t="s">
        <v>734</v>
      </c>
      <c r="T166" s="54" t="s">
        <v>178</v>
      </c>
      <c r="U166" s="59" t="s">
        <v>178</v>
      </c>
      <c r="V166" s="90" t="s">
        <v>1131</v>
      </c>
      <c r="W166" s="90" t="s">
        <v>1272</v>
      </c>
      <c r="X166" s="90" t="s">
        <v>178</v>
      </c>
      <c r="Y166" s="90"/>
      <c r="Z166" s="54" t="s">
        <v>446</v>
      </c>
      <c r="AA166" s="54" t="s">
        <v>2</v>
      </c>
      <c r="AB166" s="54">
        <v>2012</v>
      </c>
      <c r="AC166" s="92">
        <v>0</v>
      </c>
      <c r="AD166" s="54" t="s">
        <v>178</v>
      </c>
      <c r="AE166" s="54"/>
    </row>
    <row r="167" spans="1:31" ht="26.4" x14ac:dyDescent="0.3">
      <c r="A167" s="54" t="s">
        <v>582</v>
      </c>
      <c r="B167" s="54">
        <v>2283</v>
      </c>
      <c r="C167" s="54" t="s">
        <v>28</v>
      </c>
      <c r="D167" s="54" t="s">
        <v>178</v>
      </c>
      <c r="E167" s="54" t="s">
        <v>41</v>
      </c>
      <c r="F167" s="54" t="s">
        <v>42</v>
      </c>
      <c r="G167" s="54" t="s">
        <v>85</v>
      </c>
      <c r="H167" s="54" t="s">
        <v>473</v>
      </c>
      <c r="I167" s="54" t="s">
        <v>2</v>
      </c>
      <c r="J167" s="61" t="s">
        <v>757</v>
      </c>
      <c r="K167" s="102" t="s">
        <v>757</v>
      </c>
      <c r="L167" s="92">
        <v>148.00277321217226</v>
      </c>
      <c r="M167" s="92">
        <v>41.346565624486509</v>
      </c>
      <c r="N167" s="54" t="s">
        <v>103</v>
      </c>
      <c r="O167" s="92">
        <v>218.1</v>
      </c>
      <c r="P167" s="49">
        <v>4631625</v>
      </c>
      <c r="Q167" s="49" t="s">
        <v>178</v>
      </c>
      <c r="R167" s="54" t="s">
        <v>336</v>
      </c>
      <c r="S167" s="154" t="s">
        <v>735</v>
      </c>
      <c r="T167" s="54" t="s">
        <v>178</v>
      </c>
      <c r="U167" s="59" t="s">
        <v>178</v>
      </c>
      <c r="V167" s="90" t="s">
        <v>1132</v>
      </c>
      <c r="W167" s="90" t="s">
        <v>1273</v>
      </c>
      <c r="X167" s="90" t="s">
        <v>178</v>
      </c>
      <c r="Y167" s="90"/>
      <c r="Z167" s="54" t="s">
        <v>446</v>
      </c>
      <c r="AA167" s="54" t="s">
        <v>2</v>
      </c>
      <c r="AB167" s="54">
        <v>2012</v>
      </c>
      <c r="AC167" s="92">
        <v>1.360776</v>
      </c>
      <c r="AD167" s="54" t="s">
        <v>178</v>
      </c>
      <c r="AE167" s="54"/>
    </row>
    <row r="168" spans="1:31" ht="26.4" x14ac:dyDescent="0.3">
      <c r="A168" s="54" t="s">
        <v>582</v>
      </c>
      <c r="B168" s="54">
        <v>2258</v>
      </c>
      <c r="C168" s="54" t="s">
        <v>28</v>
      </c>
      <c r="D168" s="54" t="s">
        <v>178</v>
      </c>
      <c r="E168" s="54" t="s">
        <v>43</v>
      </c>
      <c r="F168" s="54" t="s">
        <v>29</v>
      </c>
      <c r="G168" s="54" t="s">
        <v>85</v>
      </c>
      <c r="H168" s="54" t="s">
        <v>473</v>
      </c>
      <c r="I168" s="54" t="s">
        <v>2</v>
      </c>
      <c r="J168" s="61" t="s">
        <v>757</v>
      </c>
      <c r="K168" s="102" t="s">
        <v>757</v>
      </c>
      <c r="L168" s="92">
        <v>34.096796427158893</v>
      </c>
      <c r="M168" s="92">
        <v>48.356621755709448</v>
      </c>
      <c r="N168" s="54" t="s">
        <v>103</v>
      </c>
      <c r="O168" s="92">
        <v>117.8</v>
      </c>
      <c r="P168" s="49">
        <v>3323506.74</v>
      </c>
      <c r="Q168" s="49">
        <v>11703</v>
      </c>
      <c r="R168" s="54" t="s">
        <v>336</v>
      </c>
      <c r="S168" s="156" t="s">
        <v>1015</v>
      </c>
      <c r="T168" s="54" t="s">
        <v>178</v>
      </c>
      <c r="U168" s="59" t="s">
        <v>178</v>
      </c>
      <c r="V168" s="90" t="s">
        <v>1133</v>
      </c>
      <c r="W168" s="90" t="s">
        <v>1274</v>
      </c>
      <c r="X168" s="90" t="s">
        <v>178</v>
      </c>
      <c r="Y168" s="90"/>
      <c r="Z168" s="54" t="s">
        <v>446</v>
      </c>
      <c r="AA168" s="54" t="s">
        <v>2</v>
      </c>
      <c r="AB168" s="54">
        <v>2012</v>
      </c>
      <c r="AC168" s="92">
        <v>0</v>
      </c>
      <c r="AD168" s="54" t="s">
        <v>178</v>
      </c>
      <c r="AE168" s="54"/>
    </row>
    <row r="169" spans="1:31" ht="26.4" x14ac:dyDescent="0.3">
      <c r="A169" s="54" t="s">
        <v>582</v>
      </c>
      <c r="B169" s="54">
        <v>2268</v>
      </c>
      <c r="C169" s="54" t="s">
        <v>28</v>
      </c>
      <c r="D169" s="54" t="s">
        <v>386</v>
      </c>
      <c r="E169" s="54" t="s">
        <v>44</v>
      </c>
      <c r="F169" s="54" t="s">
        <v>12</v>
      </c>
      <c r="G169" s="54" t="s">
        <v>713</v>
      </c>
      <c r="H169" s="54" t="s">
        <v>12</v>
      </c>
      <c r="I169" s="54" t="s">
        <v>1</v>
      </c>
      <c r="J169" s="61" t="s">
        <v>76</v>
      </c>
      <c r="K169" s="90" t="s">
        <v>178</v>
      </c>
      <c r="L169" s="92">
        <v>12957.46859635798</v>
      </c>
      <c r="M169" s="92">
        <v>4993.8662873840367</v>
      </c>
      <c r="N169" s="54" t="s">
        <v>103</v>
      </c>
      <c r="O169" s="92" t="s">
        <v>178</v>
      </c>
      <c r="P169" s="84">
        <v>392441</v>
      </c>
      <c r="Q169" s="49">
        <v>125000</v>
      </c>
      <c r="R169" s="54" t="s">
        <v>336</v>
      </c>
      <c r="S169" s="90" t="s">
        <v>736</v>
      </c>
      <c r="T169" s="54" t="s">
        <v>520</v>
      </c>
      <c r="U169" s="59" t="s">
        <v>178</v>
      </c>
      <c r="V169" s="145" t="s">
        <v>877</v>
      </c>
      <c r="W169" s="145" t="s">
        <v>878</v>
      </c>
      <c r="X169" s="90" t="s">
        <v>178</v>
      </c>
      <c r="Y169" s="90"/>
      <c r="Z169" s="54" t="s">
        <v>446</v>
      </c>
      <c r="AA169" s="54" t="s">
        <v>1</v>
      </c>
      <c r="AB169" s="54">
        <v>2012</v>
      </c>
      <c r="AC169" s="92">
        <v>9273.6884399999999</v>
      </c>
      <c r="AD169" s="54" t="s">
        <v>178</v>
      </c>
      <c r="AE169" s="54"/>
    </row>
    <row r="170" spans="1:31" x14ac:dyDescent="0.3">
      <c r="A170" s="54" t="s">
        <v>582</v>
      </c>
      <c r="B170" s="54">
        <v>2272</v>
      </c>
      <c r="C170" s="54" t="s">
        <v>28</v>
      </c>
      <c r="D170" s="54" t="s">
        <v>178</v>
      </c>
      <c r="E170" s="54" t="s">
        <v>45</v>
      </c>
      <c r="F170" s="54" t="s">
        <v>3</v>
      </c>
      <c r="G170" s="54" t="s">
        <v>132</v>
      </c>
      <c r="H170" s="54" t="s">
        <v>3</v>
      </c>
      <c r="I170" s="54" t="s">
        <v>1</v>
      </c>
      <c r="J170" s="61" t="s">
        <v>964</v>
      </c>
      <c r="K170" s="90" t="s">
        <v>178</v>
      </c>
      <c r="L170" s="92">
        <v>571.80118023027933</v>
      </c>
      <c r="M170" s="92">
        <v>374.13414835944224</v>
      </c>
      <c r="N170" s="54" t="s">
        <v>103</v>
      </c>
      <c r="O170" s="92" t="s">
        <v>178</v>
      </c>
      <c r="P170" s="49">
        <v>694176</v>
      </c>
      <c r="Q170" s="50">
        <v>248572.3</v>
      </c>
      <c r="R170" s="54" t="s">
        <v>336</v>
      </c>
      <c r="S170" s="90" t="s">
        <v>178</v>
      </c>
      <c r="T170" s="54" t="s">
        <v>178</v>
      </c>
      <c r="U170" s="59" t="s">
        <v>178</v>
      </c>
      <c r="V170" s="90" t="s">
        <v>399</v>
      </c>
      <c r="W170" s="90" t="s">
        <v>399</v>
      </c>
      <c r="X170" s="90" t="s">
        <v>178</v>
      </c>
      <c r="Y170" s="90"/>
      <c r="Z170" s="54" t="s">
        <v>446</v>
      </c>
      <c r="AA170" s="54" t="s">
        <v>1</v>
      </c>
      <c r="AB170" s="54">
        <v>2012</v>
      </c>
      <c r="AC170" s="92">
        <v>269.88724000000002</v>
      </c>
      <c r="AD170" s="54" t="s">
        <v>178</v>
      </c>
      <c r="AE170" s="54"/>
    </row>
    <row r="171" spans="1:31" ht="39.6" x14ac:dyDescent="0.3">
      <c r="A171" s="54" t="s">
        <v>582</v>
      </c>
      <c r="B171" s="54">
        <v>2273</v>
      </c>
      <c r="C171" s="54" t="s">
        <v>28</v>
      </c>
      <c r="D171" s="54" t="s">
        <v>178</v>
      </c>
      <c r="E171" s="54" t="s">
        <v>46</v>
      </c>
      <c r="F171" s="54" t="s">
        <v>277</v>
      </c>
      <c r="G171" s="54" t="s">
        <v>313</v>
      </c>
      <c r="H171" s="54" t="s">
        <v>116</v>
      </c>
      <c r="I171" s="54" t="s">
        <v>2</v>
      </c>
      <c r="J171" s="61" t="s">
        <v>76</v>
      </c>
      <c r="K171" s="90" t="s">
        <v>873</v>
      </c>
      <c r="L171" s="92">
        <v>13638.332035764297</v>
      </c>
      <c r="M171" s="92">
        <v>3535.7929785389233</v>
      </c>
      <c r="N171" s="54" t="s">
        <v>103</v>
      </c>
      <c r="O171" s="92">
        <v>397.1</v>
      </c>
      <c r="P171" s="49">
        <v>3485817</v>
      </c>
      <c r="Q171" s="49">
        <v>17101</v>
      </c>
      <c r="R171" s="54" t="s">
        <v>336</v>
      </c>
      <c r="S171" s="90" t="s">
        <v>178</v>
      </c>
      <c r="T171" s="54" t="s">
        <v>178</v>
      </c>
      <c r="U171" s="59" t="s">
        <v>178</v>
      </c>
      <c r="V171" s="90" t="s">
        <v>1134</v>
      </c>
      <c r="W171" s="90" t="s">
        <v>1275</v>
      </c>
      <c r="X171" s="90" t="s">
        <v>178</v>
      </c>
      <c r="Y171" s="90"/>
      <c r="Z171" s="54" t="s">
        <v>443</v>
      </c>
      <c r="AA171" s="54" t="s">
        <v>2</v>
      </c>
      <c r="AB171" s="54">
        <v>2012</v>
      </c>
      <c r="AC171" s="92">
        <v>1349.8897919999999</v>
      </c>
      <c r="AD171" s="54" t="s">
        <v>178</v>
      </c>
      <c r="AE171" s="54"/>
    </row>
    <row r="172" spans="1:31" x14ac:dyDescent="0.3">
      <c r="A172" s="54" t="s">
        <v>582</v>
      </c>
      <c r="B172" s="54">
        <v>2289</v>
      </c>
      <c r="C172" s="54" t="s">
        <v>28</v>
      </c>
      <c r="D172" s="54" t="s">
        <v>178</v>
      </c>
      <c r="E172" s="54" t="s">
        <v>47</v>
      </c>
      <c r="F172" s="54" t="s">
        <v>48</v>
      </c>
      <c r="G172" s="54" t="s">
        <v>93</v>
      </c>
      <c r="H172" s="54" t="s">
        <v>106</v>
      </c>
      <c r="I172" s="54" t="s">
        <v>2</v>
      </c>
      <c r="J172" s="61" t="s">
        <v>76</v>
      </c>
      <c r="K172" s="90" t="s">
        <v>76</v>
      </c>
      <c r="L172" s="92">
        <v>27712.185154679402</v>
      </c>
      <c r="M172" s="92">
        <v>9113.0035318918763</v>
      </c>
      <c r="N172" s="54" t="s">
        <v>103</v>
      </c>
      <c r="O172" s="92">
        <v>549.6</v>
      </c>
      <c r="P172" s="111" t="s">
        <v>178</v>
      </c>
      <c r="Q172" s="84" t="s">
        <v>178</v>
      </c>
      <c r="R172" s="54" t="s">
        <v>336</v>
      </c>
      <c r="S172" s="90" t="s">
        <v>178</v>
      </c>
      <c r="T172" s="54" t="s">
        <v>178</v>
      </c>
      <c r="U172" s="59" t="s">
        <v>178</v>
      </c>
      <c r="V172" s="61" t="s">
        <v>1135</v>
      </c>
      <c r="W172" s="61" t="s">
        <v>1276</v>
      </c>
      <c r="X172" s="90" t="s">
        <v>178</v>
      </c>
      <c r="Y172" s="90"/>
      <c r="Z172" s="54" t="s">
        <v>443</v>
      </c>
      <c r="AA172" s="54" t="s">
        <v>2</v>
      </c>
      <c r="AB172" s="54">
        <v>2012</v>
      </c>
      <c r="AC172" s="92">
        <v>1525.8834879999999</v>
      </c>
      <c r="AD172" s="54" t="s">
        <v>178</v>
      </c>
      <c r="AE172" s="54"/>
    </row>
    <row r="173" spans="1:31" ht="39.6" x14ac:dyDescent="0.3">
      <c r="A173" s="54" t="s">
        <v>582</v>
      </c>
      <c r="B173" s="54">
        <v>2271</v>
      </c>
      <c r="C173" s="54" t="s">
        <v>28</v>
      </c>
      <c r="D173" s="54" t="s">
        <v>387</v>
      </c>
      <c r="E173" s="54" t="s">
        <v>49</v>
      </c>
      <c r="F173" s="54" t="s">
        <v>521</v>
      </c>
      <c r="G173" s="54" t="s">
        <v>126</v>
      </c>
      <c r="H173" s="54" t="s">
        <v>116</v>
      </c>
      <c r="I173" s="54" t="s">
        <v>2</v>
      </c>
      <c r="J173" s="61" t="s">
        <v>76</v>
      </c>
      <c r="K173" s="90" t="s">
        <v>76</v>
      </c>
      <c r="L173" s="92">
        <v>248.49752398516296</v>
      </c>
      <c r="M173" s="92">
        <v>20.107639452434384</v>
      </c>
      <c r="N173" s="54" t="s">
        <v>103</v>
      </c>
      <c r="O173" s="92">
        <v>6567.4</v>
      </c>
      <c r="P173" s="84">
        <v>326955</v>
      </c>
      <c r="Q173" s="84" t="s">
        <v>178</v>
      </c>
      <c r="R173" s="54" t="s">
        <v>388</v>
      </c>
      <c r="S173" s="61" t="s">
        <v>994</v>
      </c>
      <c r="T173" s="54" t="s">
        <v>178</v>
      </c>
      <c r="U173" s="59" t="s">
        <v>874</v>
      </c>
      <c r="V173" s="90" t="s">
        <v>1126</v>
      </c>
      <c r="W173" s="90" t="s">
        <v>1267</v>
      </c>
      <c r="X173" s="90" t="s">
        <v>178</v>
      </c>
      <c r="Y173" s="90"/>
      <c r="Z173" s="54" t="s">
        <v>443</v>
      </c>
      <c r="AA173" s="54" t="s">
        <v>2</v>
      </c>
      <c r="AB173" s="54">
        <v>2012</v>
      </c>
      <c r="AC173" s="92">
        <v>1928.2195919999999</v>
      </c>
      <c r="AD173" s="54" t="s">
        <v>178</v>
      </c>
      <c r="AE173" s="54"/>
    </row>
    <row r="174" spans="1:31" ht="26.4" x14ac:dyDescent="0.3">
      <c r="A174" s="54" t="s">
        <v>582</v>
      </c>
      <c r="B174" s="54">
        <v>2270</v>
      </c>
      <c r="C174" s="54" t="s">
        <v>28</v>
      </c>
      <c r="D174" s="54" t="s">
        <v>389</v>
      </c>
      <c r="E174" s="54" t="s">
        <v>50</v>
      </c>
      <c r="F174" s="54" t="s">
        <v>51</v>
      </c>
      <c r="G174" s="54" t="s">
        <v>52</v>
      </c>
      <c r="H174" s="54" t="s">
        <v>784</v>
      </c>
      <c r="I174" s="54" t="s">
        <v>2</v>
      </c>
      <c r="J174" s="61" t="s">
        <v>76</v>
      </c>
      <c r="K174" s="90" t="s">
        <v>873</v>
      </c>
      <c r="L174" s="92">
        <v>5244.675772773975</v>
      </c>
      <c r="M174" s="92">
        <v>2053.0619487093727</v>
      </c>
      <c r="N174" s="54" t="s">
        <v>103</v>
      </c>
      <c r="O174" s="92">
        <v>1169.5999999999999</v>
      </c>
      <c r="P174" s="84">
        <v>1440000</v>
      </c>
      <c r="Q174" s="49">
        <v>38395</v>
      </c>
      <c r="R174" s="59" t="s">
        <v>390</v>
      </c>
      <c r="S174" s="90" t="s">
        <v>995</v>
      </c>
      <c r="T174" s="54" t="s">
        <v>274</v>
      </c>
      <c r="U174" s="59" t="s">
        <v>178</v>
      </c>
      <c r="V174" s="90" t="s">
        <v>1136</v>
      </c>
      <c r="W174" s="90" t="s">
        <v>1277</v>
      </c>
      <c r="X174" s="90" t="s">
        <v>178</v>
      </c>
      <c r="Y174" s="90"/>
      <c r="Z174" s="54" t="s">
        <v>443</v>
      </c>
      <c r="AA174" s="54" t="s">
        <v>2</v>
      </c>
      <c r="AB174" s="54">
        <v>2012</v>
      </c>
      <c r="AC174" s="92">
        <v>767.93125599999996</v>
      </c>
      <c r="AD174" s="54" t="s">
        <v>178</v>
      </c>
      <c r="AE174" s="54"/>
    </row>
    <row r="175" spans="1:31" ht="26.4" x14ac:dyDescent="0.3">
      <c r="A175" s="54" t="s">
        <v>582</v>
      </c>
      <c r="B175" s="54">
        <v>2269</v>
      </c>
      <c r="C175" s="54" t="s">
        <v>28</v>
      </c>
      <c r="D175" s="54" t="s">
        <v>186</v>
      </c>
      <c r="E175" s="54" t="s">
        <v>53</v>
      </c>
      <c r="F175" s="54" t="s">
        <v>54</v>
      </c>
      <c r="G175" s="54" t="s">
        <v>127</v>
      </c>
      <c r="H175" s="54" t="s">
        <v>431</v>
      </c>
      <c r="I175" s="59" t="s">
        <v>322</v>
      </c>
      <c r="J175" s="61" t="s">
        <v>949</v>
      </c>
      <c r="K175" s="61" t="s">
        <v>950</v>
      </c>
      <c r="L175" s="92">
        <v>12084.348998984902</v>
      </c>
      <c r="M175" s="92">
        <v>1027.302150234586</v>
      </c>
      <c r="N175" s="54" t="s">
        <v>103</v>
      </c>
      <c r="O175" s="92">
        <v>720.36</v>
      </c>
      <c r="P175" s="49">
        <v>3500000</v>
      </c>
      <c r="Q175" s="84" t="s">
        <v>114</v>
      </c>
      <c r="R175" s="54" t="s">
        <v>390</v>
      </c>
      <c r="S175" s="90" t="s">
        <v>516</v>
      </c>
      <c r="T175" s="54" t="s">
        <v>185</v>
      </c>
      <c r="U175" s="59" t="s">
        <v>178</v>
      </c>
      <c r="V175" s="90" t="s">
        <v>1137</v>
      </c>
      <c r="W175" s="90" t="s">
        <v>1278</v>
      </c>
      <c r="X175" s="90" t="s">
        <v>178</v>
      </c>
      <c r="Y175" s="90"/>
      <c r="Z175" s="54" t="s">
        <v>443</v>
      </c>
      <c r="AA175" s="54" t="s">
        <v>21</v>
      </c>
      <c r="AB175" s="54">
        <v>2012</v>
      </c>
      <c r="AC175" s="92">
        <v>624.59618399999999</v>
      </c>
      <c r="AD175" s="54" t="s">
        <v>178</v>
      </c>
      <c r="AE175" s="54"/>
    </row>
    <row r="176" spans="1:31" ht="39.6" x14ac:dyDescent="0.3">
      <c r="A176" s="59" t="s">
        <v>582</v>
      </c>
      <c r="B176" s="59">
        <v>5740</v>
      </c>
      <c r="C176" s="59" t="s">
        <v>101</v>
      </c>
      <c r="D176" s="113" t="s">
        <v>399</v>
      </c>
      <c r="E176" s="113" t="s">
        <v>898</v>
      </c>
      <c r="F176" s="59" t="s">
        <v>859</v>
      </c>
      <c r="G176" s="146" t="s">
        <v>933</v>
      </c>
      <c r="H176" s="59" t="s">
        <v>473</v>
      </c>
      <c r="I176" s="59" t="s">
        <v>2</v>
      </c>
      <c r="J176" s="61" t="s">
        <v>860</v>
      </c>
      <c r="K176" s="145" t="s">
        <v>860</v>
      </c>
      <c r="L176" s="139">
        <v>376.56605817548927</v>
      </c>
      <c r="M176" s="139">
        <v>70.243951754660188</v>
      </c>
      <c r="N176" s="59" t="s">
        <v>763</v>
      </c>
      <c r="O176" s="118">
        <v>103.52288594552769</v>
      </c>
      <c r="P176" s="119">
        <v>255800</v>
      </c>
      <c r="Q176" s="140" t="s">
        <v>399</v>
      </c>
      <c r="R176" s="59" t="s">
        <v>503</v>
      </c>
      <c r="S176" s="61" t="s">
        <v>996</v>
      </c>
      <c r="T176" s="140" t="s">
        <v>178</v>
      </c>
      <c r="U176" s="140" t="s">
        <v>178</v>
      </c>
      <c r="V176" s="61" t="s">
        <v>1138</v>
      </c>
      <c r="W176" s="61" t="s">
        <v>1279</v>
      </c>
      <c r="X176" s="117" t="s">
        <v>178</v>
      </c>
      <c r="Y176" s="61" t="s">
        <v>114</v>
      </c>
      <c r="Z176" s="54" t="s">
        <v>446</v>
      </c>
      <c r="AA176" s="54"/>
      <c r="AB176" s="113">
        <v>2020</v>
      </c>
      <c r="AC176" s="113" t="s">
        <v>178</v>
      </c>
      <c r="AD176" s="113" t="s">
        <v>178</v>
      </c>
      <c r="AE176" s="54"/>
    </row>
    <row r="177" spans="1:31" ht="39.6" x14ac:dyDescent="0.3">
      <c r="A177" s="54" t="s">
        <v>582</v>
      </c>
      <c r="B177" s="54">
        <v>2259</v>
      </c>
      <c r="C177" s="54" t="s">
        <v>28</v>
      </c>
      <c r="D177" s="54" t="s">
        <v>183</v>
      </c>
      <c r="E177" s="54" t="s">
        <v>55</v>
      </c>
      <c r="F177" s="54" t="s">
        <v>129</v>
      </c>
      <c r="G177" s="54" t="s">
        <v>86</v>
      </c>
      <c r="H177" s="54" t="s">
        <v>116</v>
      </c>
      <c r="I177" s="54" t="s">
        <v>2</v>
      </c>
      <c r="J177" s="61" t="s">
        <v>76</v>
      </c>
      <c r="K177" s="90" t="s">
        <v>76</v>
      </c>
      <c r="L177" s="92">
        <v>144.34089922384274</v>
      </c>
      <c r="M177" s="92">
        <v>26.367895419543377</v>
      </c>
      <c r="N177" s="54" t="s">
        <v>103</v>
      </c>
      <c r="O177" s="92">
        <v>1022.1</v>
      </c>
      <c r="P177" s="49">
        <v>210959</v>
      </c>
      <c r="Q177" s="84" t="s">
        <v>178</v>
      </c>
      <c r="R177" s="54" t="s">
        <v>382</v>
      </c>
      <c r="S177" s="149" t="s">
        <v>997</v>
      </c>
      <c r="T177" s="54" t="s">
        <v>178</v>
      </c>
      <c r="U177" s="126" t="s">
        <v>1018</v>
      </c>
      <c r="V177" s="61" t="s">
        <v>1139</v>
      </c>
      <c r="W177" s="61" t="s">
        <v>1280</v>
      </c>
      <c r="X177" s="90" t="s">
        <v>178</v>
      </c>
      <c r="Y177" s="90"/>
      <c r="Z177" s="54" t="s">
        <v>443</v>
      </c>
      <c r="AA177" s="54" t="s">
        <v>2</v>
      </c>
      <c r="AB177" s="54">
        <v>2012</v>
      </c>
      <c r="AC177" s="92">
        <v>1404.774424</v>
      </c>
      <c r="AD177" s="54" t="s">
        <v>178</v>
      </c>
      <c r="AE177" s="54"/>
    </row>
    <row r="178" spans="1:31" ht="26.4" x14ac:dyDescent="0.3">
      <c r="A178" s="54" t="s">
        <v>582</v>
      </c>
      <c r="B178" s="54">
        <v>2260</v>
      </c>
      <c r="C178" s="94" t="s">
        <v>28</v>
      </c>
      <c r="D178" s="94" t="s">
        <v>186</v>
      </c>
      <c r="E178" s="94" t="s">
        <v>56</v>
      </c>
      <c r="F178" s="94" t="s">
        <v>57</v>
      </c>
      <c r="G178" s="94" t="s">
        <v>314</v>
      </c>
      <c r="H178" s="54" t="s">
        <v>116</v>
      </c>
      <c r="I178" s="94" t="s">
        <v>2</v>
      </c>
      <c r="J178" s="150" t="s">
        <v>76</v>
      </c>
      <c r="K178" s="95" t="s">
        <v>76</v>
      </c>
      <c r="L178" s="92">
        <v>271.72196441304749</v>
      </c>
      <c r="M178" s="92">
        <v>43.94309575370329</v>
      </c>
      <c r="N178" s="94" t="s">
        <v>103</v>
      </c>
      <c r="O178" s="96">
        <v>3517</v>
      </c>
      <c r="P178" s="50">
        <v>1726625</v>
      </c>
      <c r="Q178" s="50">
        <v>16920</v>
      </c>
      <c r="R178" s="94" t="s">
        <v>390</v>
      </c>
      <c r="S178" s="95" t="s">
        <v>998</v>
      </c>
      <c r="T178" s="94" t="s">
        <v>273</v>
      </c>
      <c r="U178" s="59" t="s">
        <v>178</v>
      </c>
      <c r="V178" s="95" t="s">
        <v>1140</v>
      </c>
      <c r="W178" s="95" t="s">
        <v>1281</v>
      </c>
      <c r="X178" s="90" t="s">
        <v>178</v>
      </c>
      <c r="Y178" s="95"/>
      <c r="Z178" s="94" t="s">
        <v>443</v>
      </c>
      <c r="AA178" s="94" t="s">
        <v>2</v>
      </c>
      <c r="AB178" s="94">
        <v>2012</v>
      </c>
      <c r="AC178" s="96">
        <v>2991.892832</v>
      </c>
      <c r="AD178" s="94" t="s">
        <v>178</v>
      </c>
      <c r="AE178" s="54"/>
    </row>
    <row r="179" spans="1:31" ht="26.4" x14ac:dyDescent="0.3">
      <c r="A179" s="54" t="s">
        <v>582</v>
      </c>
      <c r="B179" s="54">
        <v>2261</v>
      </c>
      <c r="C179" s="54" t="s">
        <v>28</v>
      </c>
      <c r="D179" s="54" t="s">
        <v>78</v>
      </c>
      <c r="E179" s="54" t="s">
        <v>66</v>
      </c>
      <c r="F179" s="54" t="s">
        <v>20</v>
      </c>
      <c r="G179" s="54" t="s">
        <v>130</v>
      </c>
      <c r="H179" s="54" t="s">
        <v>784</v>
      </c>
      <c r="I179" s="54" t="s">
        <v>2</v>
      </c>
      <c r="J179" s="61" t="s">
        <v>76</v>
      </c>
      <c r="K179" s="90" t="s">
        <v>76</v>
      </c>
      <c r="L179" s="92">
        <v>948</v>
      </c>
      <c r="M179" s="92">
        <v>807</v>
      </c>
      <c r="N179" s="54" t="s">
        <v>103</v>
      </c>
      <c r="O179" s="92">
        <v>1632</v>
      </c>
      <c r="P179" s="49">
        <v>2500000</v>
      </c>
      <c r="Q179" s="84" t="s">
        <v>178</v>
      </c>
      <c r="R179" s="54" t="s">
        <v>337</v>
      </c>
      <c r="S179" s="90" t="s">
        <v>999</v>
      </c>
      <c r="T179" s="54" t="s">
        <v>178</v>
      </c>
      <c r="U179" s="59" t="s">
        <v>178</v>
      </c>
      <c r="V179" s="90" t="s">
        <v>1123</v>
      </c>
      <c r="W179" s="90" t="s">
        <v>1263</v>
      </c>
      <c r="X179" s="90" t="s">
        <v>178</v>
      </c>
      <c r="Y179" s="90"/>
      <c r="Z179" s="54" t="s">
        <v>443</v>
      </c>
      <c r="AA179" s="54" t="s">
        <v>2</v>
      </c>
      <c r="AB179" s="54">
        <v>2012</v>
      </c>
      <c r="AC179" s="92">
        <v>1217.440928</v>
      </c>
      <c r="AD179" s="54" t="s">
        <v>178</v>
      </c>
      <c r="AE179" s="54"/>
    </row>
    <row r="180" spans="1:31" ht="26.4" x14ac:dyDescent="0.3">
      <c r="A180" s="54" t="s">
        <v>582</v>
      </c>
      <c r="B180" s="54">
        <v>2262</v>
      </c>
      <c r="C180" s="54" t="s">
        <v>28</v>
      </c>
      <c r="D180" s="54" t="s">
        <v>186</v>
      </c>
      <c r="E180" s="54" t="s">
        <v>69</v>
      </c>
      <c r="F180" s="54" t="s">
        <v>278</v>
      </c>
      <c r="G180" s="54" t="s">
        <v>126</v>
      </c>
      <c r="H180" s="54" t="s">
        <v>116</v>
      </c>
      <c r="I180" s="54" t="s">
        <v>2</v>
      </c>
      <c r="J180" s="61" t="s">
        <v>951</v>
      </c>
      <c r="K180" s="90" t="s">
        <v>955</v>
      </c>
      <c r="L180" s="92">
        <v>16185.209262199154</v>
      </c>
      <c r="M180" s="92">
        <v>1368.2592402740279</v>
      </c>
      <c r="N180" s="54" t="s">
        <v>103</v>
      </c>
      <c r="O180" s="92">
        <v>1295</v>
      </c>
      <c r="P180" s="49">
        <v>250000</v>
      </c>
      <c r="Q180" s="84" t="s">
        <v>178</v>
      </c>
      <c r="R180" s="54" t="s">
        <v>390</v>
      </c>
      <c r="S180" s="90" t="s">
        <v>1000</v>
      </c>
      <c r="T180" s="54" t="s">
        <v>272</v>
      </c>
      <c r="U180" s="59" t="s">
        <v>178</v>
      </c>
      <c r="V180" s="90" t="s">
        <v>1141</v>
      </c>
      <c r="W180" s="90" t="s">
        <v>1282</v>
      </c>
      <c r="X180" s="90" t="s">
        <v>178</v>
      </c>
      <c r="Y180" s="90"/>
      <c r="Z180" s="54" t="s">
        <v>443</v>
      </c>
      <c r="AA180" s="54" t="s">
        <v>21</v>
      </c>
      <c r="AB180" s="54">
        <v>2015</v>
      </c>
      <c r="AC180" s="92">
        <v>49.895119999999999</v>
      </c>
      <c r="AD180" s="54" t="s">
        <v>178</v>
      </c>
      <c r="AE180" s="54"/>
    </row>
    <row r="181" spans="1:31" ht="39.6" x14ac:dyDescent="0.3">
      <c r="A181" s="54" t="s">
        <v>582</v>
      </c>
      <c r="B181" s="54">
        <v>2263</v>
      </c>
      <c r="C181" s="54" t="s">
        <v>28</v>
      </c>
      <c r="D181" s="54" t="s">
        <v>186</v>
      </c>
      <c r="E181" s="54" t="s">
        <v>70</v>
      </c>
      <c r="F181" s="54" t="s">
        <v>257</v>
      </c>
      <c r="G181" s="146" t="s">
        <v>934</v>
      </c>
      <c r="H181" s="54" t="s">
        <v>116</v>
      </c>
      <c r="I181" s="54" t="s">
        <v>118</v>
      </c>
      <c r="J181" s="61" t="s">
        <v>950</v>
      </c>
      <c r="K181" s="90" t="s">
        <v>950</v>
      </c>
      <c r="L181" s="118">
        <v>102.5</v>
      </c>
      <c r="M181" s="118">
        <v>118.4</v>
      </c>
      <c r="N181" s="54" t="s">
        <v>103</v>
      </c>
      <c r="O181" s="113">
        <v>114</v>
      </c>
      <c r="P181" s="49" t="s">
        <v>114</v>
      </c>
      <c r="Q181" s="84" t="s">
        <v>114</v>
      </c>
      <c r="R181" s="54" t="s">
        <v>390</v>
      </c>
      <c r="S181" s="149" t="s">
        <v>1001</v>
      </c>
      <c r="T181" s="59" t="s">
        <v>1017</v>
      </c>
      <c r="U181" s="59" t="s">
        <v>178</v>
      </c>
      <c r="V181" s="90" t="s">
        <v>1142</v>
      </c>
      <c r="W181" s="90" t="s">
        <v>1283</v>
      </c>
      <c r="X181" s="90" t="s">
        <v>178</v>
      </c>
      <c r="Y181" s="90"/>
      <c r="Z181" s="54" t="s">
        <v>443</v>
      </c>
      <c r="AA181" s="54" t="s">
        <v>21</v>
      </c>
      <c r="AB181" s="54">
        <v>2015</v>
      </c>
      <c r="AC181" s="92" t="s">
        <v>114</v>
      </c>
      <c r="AD181" s="54" t="s">
        <v>178</v>
      </c>
      <c r="AE181" s="54"/>
    </row>
    <row r="182" spans="1:31" ht="26.4" x14ac:dyDescent="0.3">
      <c r="A182" s="54" t="s">
        <v>582</v>
      </c>
      <c r="B182" s="54">
        <v>2274</v>
      </c>
      <c r="C182" s="94" t="s">
        <v>28</v>
      </c>
      <c r="D182" s="94" t="s">
        <v>186</v>
      </c>
      <c r="E182" s="54" t="s">
        <v>115</v>
      </c>
      <c r="F182" s="54" t="s">
        <v>134</v>
      </c>
      <c r="G182" s="54" t="s">
        <v>117</v>
      </c>
      <c r="H182" s="54" t="s">
        <v>116</v>
      </c>
      <c r="I182" s="54" t="s">
        <v>2</v>
      </c>
      <c r="J182" s="61" t="s">
        <v>860</v>
      </c>
      <c r="K182" s="90" t="s">
        <v>860</v>
      </c>
      <c r="L182" s="92">
        <v>10356.13080315934</v>
      </c>
      <c r="M182" s="92">
        <v>837.46594792145606</v>
      </c>
      <c r="N182" s="54" t="s">
        <v>103</v>
      </c>
      <c r="O182" s="92">
        <v>2334</v>
      </c>
      <c r="P182" s="49">
        <v>600000</v>
      </c>
      <c r="Q182" s="49">
        <v>28295</v>
      </c>
      <c r="R182" s="54" t="s">
        <v>390</v>
      </c>
      <c r="S182" s="90" t="s">
        <v>522</v>
      </c>
      <c r="T182" s="92" t="s">
        <v>187</v>
      </c>
      <c r="U182" s="59" t="s">
        <v>178</v>
      </c>
      <c r="V182" s="90" t="s">
        <v>1143</v>
      </c>
      <c r="W182" s="90" t="s">
        <v>1284</v>
      </c>
      <c r="X182" s="90" t="s">
        <v>178</v>
      </c>
      <c r="Y182" s="90"/>
      <c r="Z182" s="54" t="s">
        <v>443</v>
      </c>
      <c r="AA182" s="54" t="s">
        <v>119</v>
      </c>
      <c r="AB182" s="54">
        <v>2016</v>
      </c>
      <c r="AC182" s="92" t="s">
        <v>114</v>
      </c>
      <c r="AD182" s="54" t="s">
        <v>178</v>
      </c>
      <c r="AE182" s="54"/>
    </row>
    <row r="183" spans="1:31" ht="26.4" x14ac:dyDescent="0.3">
      <c r="A183" s="54" t="s">
        <v>582</v>
      </c>
      <c r="B183" s="54">
        <v>2265</v>
      </c>
      <c r="C183" s="54" t="s">
        <v>28</v>
      </c>
      <c r="D183" s="54" t="s">
        <v>178</v>
      </c>
      <c r="E183" s="54" t="s">
        <v>120</v>
      </c>
      <c r="F183" s="54" t="s">
        <v>258</v>
      </c>
      <c r="G183" s="54" t="s">
        <v>121</v>
      </c>
      <c r="H183" s="54" t="s">
        <v>332</v>
      </c>
      <c r="I183" s="54" t="s">
        <v>2</v>
      </c>
      <c r="J183" s="61" t="s">
        <v>955</v>
      </c>
      <c r="K183" s="90" t="s">
        <v>794</v>
      </c>
      <c r="L183" s="92" t="s">
        <v>178</v>
      </c>
      <c r="M183" s="92" t="s">
        <v>178</v>
      </c>
      <c r="N183" s="54" t="s">
        <v>103</v>
      </c>
      <c r="O183" s="92" t="s">
        <v>178</v>
      </c>
      <c r="P183" s="49">
        <v>195831</v>
      </c>
      <c r="Q183" s="49" t="s">
        <v>178</v>
      </c>
      <c r="R183" s="54" t="s">
        <v>336</v>
      </c>
      <c r="S183" s="90" t="s">
        <v>737</v>
      </c>
      <c r="T183" s="54" t="s">
        <v>178</v>
      </c>
      <c r="U183" s="59" t="s">
        <v>178</v>
      </c>
      <c r="V183" s="61" t="s">
        <v>877</v>
      </c>
      <c r="W183" s="61" t="s">
        <v>878</v>
      </c>
      <c r="X183" s="90" t="s">
        <v>178</v>
      </c>
      <c r="Y183" s="90"/>
      <c r="Z183" s="54" t="s">
        <v>446</v>
      </c>
      <c r="AA183" s="54"/>
      <c r="AB183" s="54">
        <v>2016</v>
      </c>
      <c r="AC183" s="92" t="s">
        <v>178</v>
      </c>
      <c r="AD183" s="54" t="s">
        <v>178</v>
      </c>
      <c r="AE183" s="54"/>
    </row>
    <row r="184" spans="1:31" ht="39.6" x14ac:dyDescent="0.3">
      <c r="A184" s="54" t="s">
        <v>582</v>
      </c>
      <c r="B184" s="54">
        <v>2257</v>
      </c>
      <c r="C184" s="54" t="s">
        <v>28</v>
      </c>
      <c r="D184" s="54" t="s">
        <v>178</v>
      </c>
      <c r="E184" s="54" t="s">
        <v>122</v>
      </c>
      <c r="F184" s="54" t="s">
        <v>123</v>
      </c>
      <c r="G184" s="54" t="s">
        <v>315</v>
      </c>
      <c r="H184" s="54" t="s">
        <v>332</v>
      </c>
      <c r="I184" s="59" t="s">
        <v>2</v>
      </c>
      <c r="J184" s="61" t="s">
        <v>794</v>
      </c>
      <c r="K184" s="90" t="s">
        <v>798</v>
      </c>
      <c r="L184" s="92" t="s">
        <v>178</v>
      </c>
      <c r="M184" s="92" t="s">
        <v>178</v>
      </c>
      <c r="N184" s="54" t="s">
        <v>103</v>
      </c>
      <c r="O184" s="92" t="s">
        <v>178</v>
      </c>
      <c r="P184" s="49">
        <v>181352</v>
      </c>
      <c r="Q184" s="49" t="s">
        <v>178</v>
      </c>
      <c r="R184" s="54" t="s">
        <v>390</v>
      </c>
      <c r="S184" s="90" t="s">
        <v>519</v>
      </c>
      <c r="T184" s="54" t="s">
        <v>691</v>
      </c>
      <c r="U184" s="59" t="s">
        <v>178</v>
      </c>
      <c r="V184" s="61" t="s">
        <v>877</v>
      </c>
      <c r="W184" s="61" t="s">
        <v>878</v>
      </c>
      <c r="X184" s="90" t="s">
        <v>178</v>
      </c>
      <c r="Y184" s="90"/>
      <c r="Z184" s="54" t="s">
        <v>446</v>
      </c>
      <c r="AA184" s="54"/>
      <c r="AB184" s="54">
        <v>2016</v>
      </c>
      <c r="AC184" s="54" t="s">
        <v>178</v>
      </c>
      <c r="AD184" s="54" t="s">
        <v>178</v>
      </c>
      <c r="AE184" s="54"/>
    </row>
    <row r="185" spans="1:31" ht="39.6" x14ac:dyDescent="0.3">
      <c r="A185" s="59" t="s">
        <v>582</v>
      </c>
      <c r="B185" s="59">
        <v>5741</v>
      </c>
      <c r="C185" s="59" t="s">
        <v>101</v>
      </c>
      <c r="D185" s="113" t="s">
        <v>399</v>
      </c>
      <c r="E185" s="113" t="s">
        <v>899</v>
      </c>
      <c r="F185" s="59" t="s">
        <v>859</v>
      </c>
      <c r="G185" s="146" t="s">
        <v>935</v>
      </c>
      <c r="H185" s="59" t="s">
        <v>431</v>
      </c>
      <c r="I185" s="59" t="s">
        <v>322</v>
      </c>
      <c r="J185" s="61" t="s">
        <v>950</v>
      </c>
      <c r="K185" s="145" t="s">
        <v>755</v>
      </c>
      <c r="L185" s="139">
        <v>14256.496394166274</v>
      </c>
      <c r="M185" s="139">
        <v>2731.8752497075889</v>
      </c>
      <c r="N185" s="59" t="s">
        <v>763</v>
      </c>
      <c r="O185" s="118">
        <v>12904.120330021264</v>
      </c>
      <c r="P185" s="119">
        <v>5000000</v>
      </c>
      <c r="Q185" s="119" t="s">
        <v>399</v>
      </c>
      <c r="R185" s="59" t="s">
        <v>114</v>
      </c>
      <c r="S185" s="61" t="s">
        <v>399</v>
      </c>
      <c r="T185" s="119" t="s">
        <v>114</v>
      </c>
      <c r="U185" s="119" t="s">
        <v>399</v>
      </c>
      <c r="V185" s="61" t="s">
        <v>1138</v>
      </c>
      <c r="W185" s="61" t="s">
        <v>1279</v>
      </c>
      <c r="X185" s="61" t="s">
        <v>178</v>
      </c>
      <c r="Y185" s="61" t="s">
        <v>114</v>
      </c>
      <c r="Z185" s="54" t="s">
        <v>443</v>
      </c>
      <c r="AA185" s="54"/>
      <c r="AB185" s="113">
        <v>2020</v>
      </c>
      <c r="AC185" s="113" t="s">
        <v>178</v>
      </c>
      <c r="AD185" s="113" t="s">
        <v>178</v>
      </c>
      <c r="AE185" s="54"/>
    </row>
    <row r="186" spans="1:31" ht="26.4" x14ac:dyDescent="0.3">
      <c r="A186" s="54" t="s">
        <v>582</v>
      </c>
      <c r="B186" s="54">
        <v>2267</v>
      </c>
      <c r="C186" s="54" t="s">
        <v>28</v>
      </c>
      <c r="D186" s="54" t="s">
        <v>178</v>
      </c>
      <c r="E186" s="54" t="s">
        <v>188</v>
      </c>
      <c r="F186" s="54" t="s">
        <v>391</v>
      </c>
      <c r="G186" s="54" t="s">
        <v>259</v>
      </c>
      <c r="H186" s="54" t="s">
        <v>209</v>
      </c>
      <c r="I186" s="54" t="s">
        <v>2</v>
      </c>
      <c r="J186" s="61" t="s">
        <v>757</v>
      </c>
      <c r="K186" s="102" t="s">
        <v>757</v>
      </c>
      <c r="L186" s="92">
        <v>295.03018879108532</v>
      </c>
      <c r="M186" s="92" t="s">
        <v>114</v>
      </c>
      <c r="N186" s="54" t="s">
        <v>103</v>
      </c>
      <c r="O186" s="54" t="s">
        <v>178</v>
      </c>
      <c r="P186" s="84">
        <v>61565</v>
      </c>
      <c r="Q186" s="84" t="s">
        <v>178</v>
      </c>
      <c r="R186" s="54" t="s">
        <v>336</v>
      </c>
      <c r="S186" s="90" t="s">
        <v>738</v>
      </c>
      <c r="T186" s="54" t="s">
        <v>178</v>
      </c>
      <c r="U186" s="59" t="s">
        <v>178</v>
      </c>
      <c r="V186" s="90" t="s">
        <v>1144</v>
      </c>
      <c r="W186" s="90" t="s">
        <v>1285</v>
      </c>
      <c r="X186" s="117" t="s">
        <v>178</v>
      </c>
      <c r="Y186" s="90"/>
      <c r="Z186" s="54" t="s">
        <v>443</v>
      </c>
      <c r="AA186" s="54"/>
      <c r="AB186" s="54">
        <v>2017</v>
      </c>
      <c r="AC186" s="92">
        <v>139.25274400000001</v>
      </c>
      <c r="AD186" s="54" t="s">
        <v>178</v>
      </c>
      <c r="AE186" s="54"/>
    </row>
    <row r="187" spans="1:31" ht="66" x14ac:dyDescent="0.3">
      <c r="A187" s="54" t="s">
        <v>582</v>
      </c>
      <c r="B187" s="54">
        <v>2357</v>
      </c>
      <c r="C187" s="54" t="s">
        <v>28</v>
      </c>
      <c r="D187" s="54" t="s">
        <v>392</v>
      </c>
      <c r="E187" s="54" t="s">
        <v>189</v>
      </c>
      <c r="F187" s="54" t="s">
        <v>200</v>
      </c>
      <c r="G187" s="54" t="s">
        <v>505</v>
      </c>
      <c r="H187" s="54" t="s">
        <v>116</v>
      </c>
      <c r="I187" s="54" t="s">
        <v>2</v>
      </c>
      <c r="J187" s="61" t="s">
        <v>873</v>
      </c>
      <c r="K187" s="145" t="s">
        <v>873</v>
      </c>
      <c r="L187" s="92">
        <v>724.60603567228372</v>
      </c>
      <c r="M187" s="92">
        <v>194.35260335405403</v>
      </c>
      <c r="N187" s="92" t="s">
        <v>103</v>
      </c>
      <c r="O187" s="92">
        <v>1874</v>
      </c>
      <c r="P187" s="157">
        <v>2060768</v>
      </c>
      <c r="Q187" s="84">
        <v>70260</v>
      </c>
      <c r="R187" s="54" t="s">
        <v>338</v>
      </c>
      <c r="S187" s="149" t="s">
        <v>1027</v>
      </c>
      <c r="T187" s="54" t="s">
        <v>178</v>
      </c>
      <c r="U187" s="59">
        <v>4600002716</v>
      </c>
      <c r="V187" s="90" t="s">
        <v>1145</v>
      </c>
      <c r="W187" s="90" t="s">
        <v>1286</v>
      </c>
      <c r="X187" s="90" t="s">
        <v>178</v>
      </c>
      <c r="Y187" s="90"/>
      <c r="Z187" s="54" t="s">
        <v>443</v>
      </c>
      <c r="AA187" s="54"/>
      <c r="AB187" s="54">
        <v>2017</v>
      </c>
      <c r="AC187" s="54" t="s">
        <v>114</v>
      </c>
      <c r="AD187" s="54" t="s">
        <v>114</v>
      </c>
      <c r="AE187" s="54"/>
    </row>
    <row r="188" spans="1:31" ht="39.6" x14ac:dyDescent="0.3">
      <c r="A188" s="54" t="s">
        <v>582</v>
      </c>
      <c r="B188" s="54">
        <v>2356</v>
      </c>
      <c r="C188" s="54" t="s">
        <v>28</v>
      </c>
      <c r="D188" s="54" t="s">
        <v>389</v>
      </c>
      <c r="E188" s="54" t="s">
        <v>190</v>
      </c>
      <c r="F188" s="54" t="s">
        <v>205</v>
      </c>
      <c r="G188" s="54" t="s">
        <v>260</v>
      </c>
      <c r="H188" s="54" t="s">
        <v>116</v>
      </c>
      <c r="I188" s="54" t="s">
        <v>2</v>
      </c>
      <c r="J188" s="90" t="s">
        <v>399</v>
      </c>
      <c r="K188" s="90" t="s">
        <v>794</v>
      </c>
      <c r="L188" s="92">
        <v>1216.3985676407892</v>
      </c>
      <c r="M188" s="92">
        <v>118.72308819208398</v>
      </c>
      <c r="N188" s="59" t="s">
        <v>764</v>
      </c>
      <c r="O188" s="113" t="s">
        <v>178</v>
      </c>
      <c r="P188" s="84">
        <v>200000</v>
      </c>
      <c r="Q188" s="84" t="s">
        <v>178</v>
      </c>
      <c r="R188" s="54" t="s">
        <v>339</v>
      </c>
      <c r="S188" s="90" t="s">
        <v>1002</v>
      </c>
      <c r="T188" s="92" t="s">
        <v>242</v>
      </c>
      <c r="U188" s="124" t="s">
        <v>178</v>
      </c>
      <c r="V188" s="90" t="s">
        <v>1124</v>
      </c>
      <c r="W188" s="90" t="s">
        <v>1265</v>
      </c>
      <c r="X188" s="90" t="s">
        <v>178</v>
      </c>
      <c r="Y188" s="54"/>
      <c r="Z188" s="54" t="s">
        <v>443</v>
      </c>
      <c r="AA188" s="54"/>
      <c r="AB188" s="54">
        <v>2017</v>
      </c>
      <c r="AC188" s="92" t="s">
        <v>114</v>
      </c>
      <c r="AD188" s="54" t="s">
        <v>178</v>
      </c>
      <c r="AE188" s="54"/>
    </row>
    <row r="189" spans="1:31" ht="89.25" customHeight="1" x14ac:dyDescent="0.25">
      <c r="A189" s="59" t="s">
        <v>582</v>
      </c>
      <c r="B189" s="59">
        <v>5742</v>
      </c>
      <c r="C189" s="59" t="s">
        <v>774</v>
      </c>
      <c r="D189" s="59" t="s">
        <v>186</v>
      </c>
      <c r="E189" s="113" t="s">
        <v>900</v>
      </c>
      <c r="F189" s="59" t="s">
        <v>827</v>
      </c>
      <c r="G189" s="59" t="s">
        <v>920</v>
      </c>
      <c r="H189" s="110" t="s">
        <v>236</v>
      </c>
      <c r="I189" s="59" t="s">
        <v>322</v>
      </c>
      <c r="J189" s="149" t="s">
        <v>949</v>
      </c>
      <c r="K189" s="149" t="s">
        <v>950</v>
      </c>
      <c r="L189" s="133">
        <v>242.84366899670178</v>
      </c>
      <c r="M189" s="133" t="s">
        <v>178</v>
      </c>
      <c r="N189" s="59" t="s">
        <v>828</v>
      </c>
      <c r="O189" s="132">
        <v>22</v>
      </c>
      <c r="P189" s="111">
        <v>908000</v>
      </c>
      <c r="Q189" s="111" t="s">
        <v>114</v>
      </c>
      <c r="R189" s="146" t="s">
        <v>968</v>
      </c>
      <c r="S189" s="61" t="s">
        <v>1003</v>
      </c>
      <c r="T189" s="112" t="s">
        <v>829</v>
      </c>
      <c r="U189" s="59" t="s">
        <v>178</v>
      </c>
      <c r="V189" s="164" t="s">
        <v>1146</v>
      </c>
      <c r="W189" s="164" t="s">
        <v>1287</v>
      </c>
      <c r="X189" s="59" t="s">
        <v>178</v>
      </c>
      <c r="Y189" s="59" t="s">
        <v>178</v>
      </c>
      <c r="Z189" s="54" t="s">
        <v>443</v>
      </c>
      <c r="AA189" s="54"/>
      <c r="AB189" s="113">
        <v>2020</v>
      </c>
      <c r="AC189" s="113" t="s">
        <v>178</v>
      </c>
      <c r="AD189" s="113" t="s">
        <v>178</v>
      </c>
      <c r="AE189" s="92"/>
    </row>
    <row r="190" spans="1:31" x14ac:dyDescent="0.3">
      <c r="A190" s="54" t="s">
        <v>582</v>
      </c>
      <c r="B190" s="54">
        <v>2239</v>
      </c>
      <c r="C190" s="54" t="s">
        <v>28</v>
      </c>
      <c r="D190" s="54" t="s">
        <v>186</v>
      </c>
      <c r="E190" s="54" t="s">
        <v>191</v>
      </c>
      <c r="F190" s="54" t="s">
        <v>40</v>
      </c>
      <c r="G190" s="54" t="s">
        <v>206</v>
      </c>
      <c r="H190" s="54" t="s">
        <v>116</v>
      </c>
      <c r="I190" s="54" t="s">
        <v>2</v>
      </c>
      <c r="J190" s="61" t="s">
        <v>955</v>
      </c>
      <c r="K190" s="90" t="s">
        <v>794</v>
      </c>
      <c r="L190" s="92">
        <v>421.09349076693036</v>
      </c>
      <c r="M190" s="92">
        <v>43.785945723380522</v>
      </c>
      <c r="N190" s="13" t="s">
        <v>103</v>
      </c>
      <c r="O190" s="113" t="s">
        <v>178</v>
      </c>
      <c r="P190" s="84">
        <v>107337</v>
      </c>
      <c r="Q190" s="84">
        <v>54639</v>
      </c>
      <c r="R190" s="54" t="s">
        <v>390</v>
      </c>
      <c r="S190" s="90" t="s">
        <v>1004</v>
      </c>
      <c r="T190" s="92" t="s">
        <v>243</v>
      </c>
      <c r="U190" s="59" t="s">
        <v>178</v>
      </c>
      <c r="V190" s="90" t="s">
        <v>1131</v>
      </c>
      <c r="W190" s="90" t="s">
        <v>1272</v>
      </c>
      <c r="X190" s="90" t="s">
        <v>178</v>
      </c>
      <c r="Y190" s="54"/>
      <c r="Z190" s="54" t="s">
        <v>443</v>
      </c>
      <c r="AA190" s="54"/>
      <c r="AB190" s="54">
        <v>2017</v>
      </c>
      <c r="AC190" s="92" t="s">
        <v>114</v>
      </c>
      <c r="AD190" s="54" t="s">
        <v>178</v>
      </c>
      <c r="AE190" s="54"/>
    </row>
    <row r="191" spans="1:31" ht="26.4" x14ac:dyDescent="0.3">
      <c r="A191" s="54" t="s">
        <v>582</v>
      </c>
      <c r="B191" s="54">
        <v>2238</v>
      </c>
      <c r="C191" s="54" t="s">
        <v>28</v>
      </c>
      <c r="D191" s="54" t="s">
        <v>362</v>
      </c>
      <c r="E191" s="54" t="s">
        <v>192</v>
      </c>
      <c r="F191" s="54" t="s">
        <v>518</v>
      </c>
      <c r="G191" s="54" t="s">
        <v>506</v>
      </c>
      <c r="H191" s="54" t="s">
        <v>784</v>
      </c>
      <c r="I191" s="54" t="s">
        <v>322</v>
      </c>
      <c r="J191" s="61" t="s">
        <v>860</v>
      </c>
      <c r="K191" s="90" t="s">
        <v>950</v>
      </c>
      <c r="L191" s="92" t="s">
        <v>114</v>
      </c>
      <c r="M191" s="92" t="s">
        <v>114</v>
      </c>
      <c r="N191" s="54" t="s">
        <v>103</v>
      </c>
      <c r="O191" s="54" t="s">
        <v>114</v>
      </c>
      <c r="P191" s="84" t="s">
        <v>114</v>
      </c>
      <c r="Q191" s="84" t="s">
        <v>114</v>
      </c>
      <c r="R191" s="54" t="s">
        <v>340</v>
      </c>
      <c r="S191" s="90" t="s">
        <v>178</v>
      </c>
      <c r="T191" s="54" t="s">
        <v>178</v>
      </c>
      <c r="U191" s="59" t="s">
        <v>178</v>
      </c>
      <c r="V191" s="90" t="s">
        <v>1132</v>
      </c>
      <c r="W191" s="90" t="s">
        <v>1273</v>
      </c>
      <c r="X191" s="90" t="s">
        <v>178</v>
      </c>
      <c r="Y191" s="90"/>
      <c r="Z191" s="54" t="s">
        <v>443</v>
      </c>
      <c r="AA191" s="54"/>
      <c r="AB191" s="54">
        <v>2017</v>
      </c>
      <c r="AC191" s="92" t="s">
        <v>114</v>
      </c>
      <c r="AD191" s="54" t="s">
        <v>178</v>
      </c>
      <c r="AE191" s="54"/>
    </row>
    <row r="192" spans="1:31" ht="39.6" x14ac:dyDescent="0.3">
      <c r="A192" s="54" t="s">
        <v>582</v>
      </c>
      <c r="B192" s="54">
        <v>2243</v>
      </c>
      <c r="C192" s="54" t="s">
        <v>28</v>
      </c>
      <c r="D192" s="54" t="s">
        <v>389</v>
      </c>
      <c r="E192" s="54" t="s">
        <v>193</v>
      </c>
      <c r="F192" s="54" t="s">
        <v>316</v>
      </c>
      <c r="G192" s="54" t="s">
        <v>393</v>
      </c>
      <c r="H192" s="54" t="s">
        <v>332</v>
      </c>
      <c r="I192" s="54" t="s">
        <v>322</v>
      </c>
      <c r="J192" s="61" t="s">
        <v>951</v>
      </c>
      <c r="K192" s="90" t="s">
        <v>114</v>
      </c>
      <c r="L192" s="92" t="s">
        <v>178</v>
      </c>
      <c r="M192" s="92" t="s">
        <v>178</v>
      </c>
      <c r="N192" s="54" t="s">
        <v>103</v>
      </c>
      <c r="O192" s="92" t="s">
        <v>178</v>
      </c>
      <c r="P192" s="84">
        <v>10000000</v>
      </c>
      <c r="Q192" s="49" t="s">
        <v>178</v>
      </c>
      <c r="R192" s="54" t="s">
        <v>339</v>
      </c>
      <c r="S192" s="61" t="s">
        <v>178</v>
      </c>
      <c r="T192" s="92" t="s">
        <v>178</v>
      </c>
      <c r="U192" s="59" t="s">
        <v>178</v>
      </c>
      <c r="V192" s="90" t="s">
        <v>1147</v>
      </c>
      <c r="W192" s="90" t="s">
        <v>1288</v>
      </c>
      <c r="X192" s="90" t="s">
        <v>178</v>
      </c>
      <c r="Y192" s="90"/>
      <c r="Z192" s="54" t="s">
        <v>446</v>
      </c>
      <c r="AA192" s="54"/>
      <c r="AB192" s="54">
        <v>2017</v>
      </c>
      <c r="AC192" s="54" t="s">
        <v>178</v>
      </c>
      <c r="AD192" s="54" t="s">
        <v>178</v>
      </c>
      <c r="AE192" s="54"/>
    </row>
    <row r="193" spans="1:31" ht="39.6" x14ac:dyDescent="0.3">
      <c r="A193" s="54" t="s">
        <v>582</v>
      </c>
      <c r="B193" s="54">
        <v>2255</v>
      </c>
      <c r="C193" s="54" t="s">
        <v>28</v>
      </c>
      <c r="D193" s="54" t="s">
        <v>389</v>
      </c>
      <c r="E193" s="54" t="s">
        <v>194</v>
      </c>
      <c r="F193" s="54" t="s">
        <v>201</v>
      </c>
      <c r="G193" s="54" t="s">
        <v>207</v>
      </c>
      <c r="H193" s="54" t="s">
        <v>116</v>
      </c>
      <c r="I193" s="54" t="s">
        <v>2</v>
      </c>
      <c r="J193" s="61" t="s">
        <v>860</v>
      </c>
      <c r="K193" s="90" t="s">
        <v>860</v>
      </c>
      <c r="L193" s="92">
        <v>1218.4432883749002</v>
      </c>
      <c r="M193" s="92">
        <v>114.40798681264</v>
      </c>
      <c r="N193" s="54" t="s">
        <v>763</v>
      </c>
      <c r="O193" s="54">
        <v>4781</v>
      </c>
      <c r="P193" s="84">
        <v>2000000</v>
      </c>
      <c r="Q193" s="49">
        <v>35000</v>
      </c>
      <c r="R193" s="54" t="s">
        <v>339</v>
      </c>
      <c r="S193" s="149" t="s">
        <v>1005</v>
      </c>
      <c r="T193" s="54" t="s">
        <v>271</v>
      </c>
      <c r="U193" s="59">
        <v>4600003525</v>
      </c>
      <c r="V193" s="90" t="s">
        <v>1148</v>
      </c>
      <c r="W193" s="90" t="s">
        <v>1289</v>
      </c>
      <c r="X193" s="90" t="s">
        <v>178</v>
      </c>
      <c r="Y193" s="90"/>
      <c r="Z193" s="54" t="s">
        <v>443</v>
      </c>
      <c r="AA193" s="54"/>
      <c r="AB193" s="54">
        <v>2017</v>
      </c>
      <c r="AC193" s="92">
        <v>659.06917599999997</v>
      </c>
      <c r="AD193" s="54" t="s">
        <v>178</v>
      </c>
      <c r="AE193" s="54"/>
    </row>
    <row r="194" spans="1:31" ht="26.4" x14ac:dyDescent="0.3">
      <c r="A194" s="54" t="s">
        <v>582</v>
      </c>
      <c r="B194" s="54">
        <v>2292</v>
      </c>
      <c r="C194" s="54" t="s">
        <v>28</v>
      </c>
      <c r="D194" s="54" t="s">
        <v>186</v>
      </c>
      <c r="E194" s="54" t="s">
        <v>195</v>
      </c>
      <c r="F194" s="54" t="s">
        <v>202</v>
      </c>
      <c r="G194" s="54" t="s">
        <v>507</v>
      </c>
      <c r="H194" s="54" t="s">
        <v>116</v>
      </c>
      <c r="I194" s="54" t="s">
        <v>2</v>
      </c>
      <c r="J194" s="61" t="s">
        <v>963</v>
      </c>
      <c r="K194" s="90" t="s">
        <v>963</v>
      </c>
      <c r="L194" s="92">
        <v>828.91361983327317</v>
      </c>
      <c r="M194" s="92">
        <v>46.256859367211256</v>
      </c>
      <c r="N194" s="54" t="s">
        <v>763</v>
      </c>
      <c r="O194" s="92">
        <v>4030.6556338808919</v>
      </c>
      <c r="P194" s="84">
        <v>400000</v>
      </c>
      <c r="Q194" s="84">
        <v>3000</v>
      </c>
      <c r="R194" s="54" t="s">
        <v>390</v>
      </c>
      <c r="S194" s="149" t="s">
        <v>1016</v>
      </c>
      <c r="T194" s="54" t="s">
        <v>270</v>
      </c>
      <c r="U194" s="59">
        <v>4600002828</v>
      </c>
      <c r="V194" s="90" t="s">
        <v>1149</v>
      </c>
      <c r="W194" s="90" t="s">
        <v>1290</v>
      </c>
      <c r="X194" s="90" t="s">
        <v>178</v>
      </c>
      <c r="Y194" s="90"/>
      <c r="Z194" s="54" t="s">
        <v>443</v>
      </c>
      <c r="AA194" s="54"/>
      <c r="AB194" s="54">
        <v>2017</v>
      </c>
      <c r="AC194" s="92">
        <v>50.802303999999999</v>
      </c>
      <c r="AD194" s="54" t="s">
        <v>178</v>
      </c>
      <c r="AE194" s="54"/>
    </row>
    <row r="195" spans="1:31" ht="26.4" x14ac:dyDescent="0.3">
      <c r="A195" s="54" t="s">
        <v>582</v>
      </c>
      <c r="B195" s="54">
        <v>2285</v>
      </c>
      <c r="C195" s="54" t="s">
        <v>28</v>
      </c>
      <c r="D195" s="54" t="s">
        <v>178</v>
      </c>
      <c r="E195" s="54" t="s">
        <v>196</v>
      </c>
      <c r="F195" s="54" t="s">
        <v>203</v>
      </c>
      <c r="G195" s="54" t="s">
        <v>121</v>
      </c>
      <c r="H195" s="54" t="s">
        <v>332</v>
      </c>
      <c r="I195" s="54" t="s">
        <v>2</v>
      </c>
      <c r="J195" s="61" t="s">
        <v>860</v>
      </c>
      <c r="K195" s="90" t="s">
        <v>860</v>
      </c>
      <c r="L195" s="92" t="s">
        <v>178</v>
      </c>
      <c r="M195" s="92" t="s">
        <v>178</v>
      </c>
      <c r="N195" s="54" t="s">
        <v>103</v>
      </c>
      <c r="O195" s="92" t="s">
        <v>178</v>
      </c>
      <c r="P195" s="84">
        <v>70000</v>
      </c>
      <c r="Q195" s="84" t="s">
        <v>178</v>
      </c>
      <c r="R195" s="54" t="s">
        <v>336</v>
      </c>
      <c r="S195" s="90" t="s">
        <v>178</v>
      </c>
      <c r="T195" s="54" t="s">
        <v>178</v>
      </c>
      <c r="U195" s="59" t="s">
        <v>178</v>
      </c>
      <c r="V195" s="90" t="s">
        <v>1150</v>
      </c>
      <c r="W195" s="90" t="s">
        <v>1291</v>
      </c>
      <c r="X195" s="90" t="s">
        <v>178</v>
      </c>
      <c r="Y195" s="90"/>
      <c r="Z195" s="54" t="s">
        <v>446</v>
      </c>
      <c r="AA195" s="54"/>
      <c r="AB195" s="54">
        <v>2017</v>
      </c>
      <c r="AC195" s="54" t="s">
        <v>178</v>
      </c>
      <c r="AD195" s="54" t="s">
        <v>178</v>
      </c>
      <c r="AE195" s="54"/>
    </row>
    <row r="196" spans="1:31" ht="26.4" x14ac:dyDescent="0.3">
      <c r="A196" s="54" t="s">
        <v>582</v>
      </c>
      <c r="B196" s="54">
        <v>2276</v>
      </c>
      <c r="C196" s="54" t="s">
        <v>28</v>
      </c>
      <c r="D196" s="54" t="s">
        <v>186</v>
      </c>
      <c r="E196" s="54" t="s">
        <v>197</v>
      </c>
      <c r="F196" s="54" t="s">
        <v>394</v>
      </c>
      <c r="G196" s="54" t="s">
        <v>508</v>
      </c>
      <c r="H196" s="54" t="s">
        <v>332</v>
      </c>
      <c r="I196" s="59" t="s">
        <v>2</v>
      </c>
      <c r="J196" s="61" t="s">
        <v>860</v>
      </c>
      <c r="K196" s="90" t="s">
        <v>949</v>
      </c>
      <c r="L196" s="92" t="s">
        <v>178</v>
      </c>
      <c r="M196" s="92" t="s">
        <v>178</v>
      </c>
      <c r="N196" s="54" t="s">
        <v>103</v>
      </c>
      <c r="O196" s="92" t="s">
        <v>178</v>
      </c>
      <c r="P196" s="84">
        <v>200000</v>
      </c>
      <c r="Q196" s="84" t="s">
        <v>178</v>
      </c>
      <c r="R196" s="54" t="s">
        <v>390</v>
      </c>
      <c r="S196" s="90" t="s">
        <v>395</v>
      </c>
      <c r="T196" s="54" t="s">
        <v>210</v>
      </c>
      <c r="U196" s="59" t="s">
        <v>178</v>
      </c>
      <c r="V196" s="61" t="s">
        <v>1151</v>
      </c>
      <c r="W196" s="61" t="s">
        <v>1292</v>
      </c>
      <c r="X196" s="90" t="s">
        <v>178</v>
      </c>
      <c r="Y196" s="90"/>
      <c r="Z196" s="54" t="s">
        <v>446</v>
      </c>
      <c r="AA196" s="54"/>
      <c r="AB196" s="54">
        <v>2017</v>
      </c>
      <c r="AC196" s="92" t="s">
        <v>178</v>
      </c>
      <c r="AD196" s="54" t="s">
        <v>178</v>
      </c>
      <c r="AE196" s="54"/>
    </row>
    <row r="197" spans="1:31" ht="26.4" x14ac:dyDescent="0.3">
      <c r="A197" s="54" t="s">
        <v>582</v>
      </c>
      <c r="B197" s="54">
        <v>2340</v>
      </c>
      <c r="C197" s="54" t="s">
        <v>28</v>
      </c>
      <c r="D197" s="54" t="s">
        <v>186</v>
      </c>
      <c r="E197" s="54" t="s">
        <v>198</v>
      </c>
      <c r="F197" s="54" t="s">
        <v>112</v>
      </c>
      <c r="G197" s="54" t="s">
        <v>396</v>
      </c>
      <c r="H197" s="54" t="s">
        <v>116</v>
      </c>
      <c r="I197" s="59" t="s">
        <v>118</v>
      </c>
      <c r="J197" s="61" t="s">
        <v>950</v>
      </c>
      <c r="K197" s="90" t="s">
        <v>950</v>
      </c>
      <c r="L197" s="92" t="s">
        <v>114</v>
      </c>
      <c r="M197" s="92" t="s">
        <v>114</v>
      </c>
      <c r="N197" s="54" t="s">
        <v>103</v>
      </c>
      <c r="O197" s="54" t="s">
        <v>114</v>
      </c>
      <c r="P197" s="84">
        <v>2000000</v>
      </c>
      <c r="Q197" s="84" t="s">
        <v>114</v>
      </c>
      <c r="R197" s="54" t="s">
        <v>390</v>
      </c>
      <c r="S197" s="90" t="s">
        <v>1006</v>
      </c>
      <c r="T197" s="54" t="s">
        <v>211</v>
      </c>
      <c r="U197" s="59" t="s">
        <v>178</v>
      </c>
      <c r="V197" s="90" t="s">
        <v>1152</v>
      </c>
      <c r="W197" s="90" t="s">
        <v>1293</v>
      </c>
      <c r="X197" s="90" t="s">
        <v>178</v>
      </c>
      <c r="Y197" s="90"/>
      <c r="Z197" s="54" t="s">
        <v>443</v>
      </c>
      <c r="AA197" s="54"/>
      <c r="AB197" s="54">
        <v>2017</v>
      </c>
      <c r="AC197" s="54" t="s">
        <v>114</v>
      </c>
      <c r="AD197" s="54" t="s">
        <v>178</v>
      </c>
      <c r="AE197" s="54"/>
    </row>
    <row r="198" spans="1:31" ht="26.4" x14ac:dyDescent="0.3">
      <c r="A198" s="54" t="s">
        <v>582</v>
      </c>
      <c r="B198" s="54">
        <v>2277</v>
      </c>
      <c r="C198" s="54" t="s">
        <v>28</v>
      </c>
      <c r="D198" s="54" t="s">
        <v>78</v>
      </c>
      <c r="E198" s="54" t="s">
        <v>199</v>
      </c>
      <c r="F198" s="54" t="s">
        <v>204</v>
      </c>
      <c r="G198" s="54" t="s">
        <v>208</v>
      </c>
      <c r="H198" s="54" t="s">
        <v>233</v>
      </c>
      <c r="I198" s="59" t="s">
        <v>118</v>
      </c>
      <c r="J198" s="61" t="s">
        <v>950</v>
      </c>
      <c r="K198" s="90" t="s">
        <v>950</v>
      </c>
      <c r="L198" s="92">
        <v>985.49522092318409</v>
      </c>
      <c r="M198" s="92">
        <v>189.59088362849963</v>
      </c>
      <c r="N198" s="54" t="s">
        <v>103</v>
      </c>
      <c r="O198" s="54" t="s">
        <v>114</v>
      </c>
      <c r="P198" s="84">
        <v>500000</v>
      </c>
      <c r="Q198" s="84" t="s">
        <v>114</v>
      </c>
      <c r="R198" s="54" t="s">
        <v>523</v>
      </c>
      <c r="S198" s="90" t="s">
        <v>524</v>
      </c>
      <c r="T198" s="92" t="s">
        <v>525</v>
      </c>
      <c r="U198" s="59" t="s">
        <v>178</v>
      </c>
      <c r="V198" s="90" t="s">
        <v>1153</v>
      </c>
      <c r="W198" s="90" t="s">
        <v>1294</v>
      </c>
      <c r="X198" s="90" t="s">
        <v>178</v>
      </c>
      <c r="Y198" s="90"/>
      <c r="Z198" s="54" t="s">
        <v>443</v>
      </c>
      <c r="AA198" s="54"/>
      <c r="AB198" s="54">
        <v>2017</v>
      </c>
      <c r="AC198" s="54" t="s">
        <v>114</v>
      </c>
      <c r="AD198" s="54" t="s">
        <v>178</v>
      </c>
      <c r="AE198" s="54"/>
    </row>
    <row r="199" spans="1:31" ht="39.6" x14ac:dyDescent="0.3">
      <c r="A199" s="54" t="s">
        <v>582</v>
      </c>
      <c r="B199" s="91">
        <v>4369</v>
      </c>
      <c r="C199" s="54" t="s">
        <v>28</v>
      </c>
      <c r="D199" s="54" t="s">
        <v>178</v>
      </c>
      <c r="E199" s="54" t="s">
        <v>433</v>
      </c>
      <c r="F199" s="54" t="s">
        <v>509</v>
      </c>
      <c r="G199" s="54" t="s">
        <v>917</v>
      </c>
      <c r="H199" s="54" t="s">
        <v>332</v>
      </c>
      <c r="I199" s="59" t="s">
        <v>2</v>
      </c>
      <c r="J199" s="61" t="s">
        <v>949</v>
      </c>
      <c r="K199" s="90" t="s">
        <v>798</v>
      </c>
      <c r="L199" s="92" t="s">
        <v>178</v>
      </c>
      <c r="M199" s="92" t="s">
        <v>178</v>
      </c>
      <c r="N199" s="59" t="s">
        <v>764</v>
      </c>
      <c r="O199" s="54" t="s">
        <v>178</v>
      </c>
      <c r="P199" s="84">
        <v>228285</v>
      </c>
      <c r="Q199" s="84" t="s">
        <v>178</v>
      </c>
      <c r="R199" s="54" t="s">
        <v>336</v>
      </c>
      <c r="S199" s="90" t="s">
        <v>739</v>
      </c>
      <c r="T199" s="54" t="s">
        <v>178</v>
      </c>
      <c r="U199" s="59" t="s">
        <v>178</v>
      </c>
      <c r="V199" s="61" t="s">
        <v>1154</v>
      </c>
      <c r="W199" s="61" t="s">
        <v>1295</v>
      </c>
      <c r="X199" s="90" t="s">
        <v>178</v>
      </c>
      <c r="Y199" s="90"/>
      <c r="Z199" s="54" t="s">
        <v>446</v>
      </c>
      <c r="AA199" s="54" t="s">
        <v>322</v>
      </c>
      <c r="AB199" s="54">
        <v>2018</v>
      </c>
      <c r="AC199" s="92" t="s">
        <v>178</v>
      </c>
      <c r="AD199" s="54" t="s">
        <v>178</v>
      </c>
      <c r="AE199" s="54"/>
    </row>
    <row r="200" spans="1:31" ht="39.6" x14ac:dyDescent="0.3">
      <c r="A200" s="54" t="s">
        <v>582</v>
      </c>
      <c r="B200" s="91">
        <v>4370</v>
      </c>
      <c r="C200" s="54" t="s">
        <v>28</v>
      </c>
      <c r="D200" s="54" t="s">
        <v>178</v>
      </c>
      <c r="E200" s="54" t="s">
        <v>434</v>
      </c>
      <c r="F200" s="54" t="s">
        <v>510</v>
      </c>
      <c r="G200" s="54" t="s">
        <v>85</v>
      </c>
      <c r="H200" s="54" t="s">
        <v>473</v>
      </c>
      <c r="I200" s="54" t="s">
        <v>2</v>
      </c>
      <c r="J200" s="61" t="s">
        <v>949</v>
      </c>
      <c r="K200" s="90" t="s">
        <v>949</v>
      </c>
      <c r="L200" s="92">
        <v>15177.8380315002</v>
      </c>
      <c r="M200" s="92">
        <v>10640.046788302505</v>
      </c>
      <c r="N200" s="54" t="s">
        <v>764</v>
      </c>
      <c r="O200" s="54" t="s">
        <v>178</v>
      </c>
      <c r="P200" s="84">
        <v>3870000</v>
      </c>
      <c r="Q200" s="84" t="s">
        <v>178</v>
      </c>
      <c r="R200" s="54" t="s">
        <v>336</v>
      </c>
      <c r="S200" s="90" t="s">
        <v>740</v>
      </c>
      <c r="T200" s="54" t="s">
        <v>178</v>
      </c>
      <c r="U200" s="59" t="s">
        <v>178</v>
      </c>
      <c r="V200" s="90" t="s">
        <v>1155</v>
      </c>
      <c r="W200" s="90" t="s">
        <v>1296</v>
      </c>
      <c r="X200" s="90" t="s">
        <v>178</v>
      </c>
      <c r="Y200" s="90"/>
      <c r="Z200" s="54" t="s">
        <v>446</v>
      </c>
      <c r="AA200" s="54" t="s">
        <v>2</v>
      </c>
      <c r="AB200" s="54">
        <v>2018</v>
      </c>
      <c r="AC200" s="92" t="s">
        <v>178</v>
      </c>
      <c r="AD200" s="54" t="s">
        <v>178</v>
      </c>
      <c r="AE200" s="54"/>
    </row>
    <row r="201" spans="1:31" ht="26.4" x14ac:dyDescent="0.3">
      <c r="A201" s="54" t="s">
        <v>582</v>
      </c>
      <c r="B201" s="54">
        <v>4855</v>
      </c>
      <c r="C201" s="54" t="s">
        <v>28</v>
      </c>
      <c r="D201" s="54" t="s">
        <v>186</v>
      </c>
      <c r="E201" s="54" t="s">
        <v>576</v>
      </c>
      <c r="F201" s="54" t="s">
        <v>577</v>
      </c>
      <c r="G201" s="54" t="s">
        <v>588</v>
      </c>
      <c r="H201" s="54" t="s">
        <v>784</v>
      </c>
      <c r="I201" s="59" t="s">
        <v>118</v>
      </c>
      <c r="J201" s="61" t="s">
        <v>950</v>
      </c>
      <c r="K201" s="149" t="s">
        <v>952</v>
      </c>
      <c r="L201" s="92" t="s">
        <v>114</v>
      </c>
      <c r="M201" s="92" t="s">
        <v>114</v>
      </c>
      <c r="N201" s="54" t="s">
        <v>103</v>
      </c>
      <c r="O201" s="54" t="s">
        <v>114</v>
      </c>
      <c r="P201" s="84">
        <v>974000</v>
      </c>
      <c r="Q201" s="84" t="s">
        <v>114</v>
      </c>
      <c r="R201" s="54" t="s">
        <v>186</v>
      </c>
      <c r="S201" s="90" t="s">
        <v>741</v>
      </c>
      <c r="T201" s="54" t="s">
        <v>692</v>
      </c>
      <c r="U201" s="59" t="s">
        <v>178</v>
      </c>
      <c r="V201" s="90" t="s">
        <v>1156</v>
      </c>
      <c r="W201" s="90" t="s">
        <v>1297</v>
      </c>
      <c r="X201" s="90" t="s">
        <v>178</v>
      </c>
      <c r="Y201" s="90"/>
      <c r="Z201" s="54" t="s">
        <v>443</v>
      </c>
      <c r="AA201" s="54" t="s">
        <v>322</v>
      </c>
      <c r="AB201" s="54">
        <v>2019</v>
      </c>
      <c r="AC201" s="92" t="s">
        <v>178</v>
      </c>
      <c r="AD201" s="54" t="s">
        <v>178</v>
      </c>
      <c r="AE201" s="54"/>
    </row>
    <row r="202" spans="1:31" ht="25.5" customHeight="1" x14ac:dyDescent="0.25">
      <c r="A202" s="59" t="s">
        <v>582</v>
      </c>
      <c r="B202" s="59">
        <v>5743</v>
      </c>
      <c r="C202" s="59" t="s">
        <v>774</v>
      </c>
      <c r="D202" s="59" t="s">
        <v>186</v>
      </c>
      <c r="E202" s="113" t="s">
        <v>901</v>
      </c>
      <c r="F202" s="59" t="s">
        <v>830</v>
      </c>
      <c r="G202" s="59" t="s">
        <v>921</v>
      </c>
      <c r="H202" s="59" t="s">
        <v>236</v>
      </c>
      <c r="I202" s="59" t="s">
        <v>322</v>
      </c>
      <c r="J202" s="149" t="s">
        <v>949</v>
      </c>
      <c r="K202" s="149" t="s">
        <v>950</v>
      </c>
      <c r="L202" s="159">
        <v>2222.0195713198209</v>
      </c>
      <c r="M202" s="133" t="s">
        <v>178</v>
      </c>
      <c r="N202" s="59" t="s">
        <v>828</v>
      </c>
      <c r="O202" s="132">
        <v>91</v>
      </c>
      <c r="P202" s="111">
        <v>3128500</v>
      </c>
      <c r="Q202" s="111" t="s">
        <v>114</v>
      </c>
      <c r="R202" s="146" t="s">
        <v>968</v>
      </c>
      <c r="S202" s="61" t="s">
        <v>1007</v>
      </c>
      <c r="T202" s="112" t="s">
        <v>831</v>
      </c>
      <c r="U202" s="59" t="s">
        <v>178</v>
      </c>
      <c r="V202" s="164" t="s">
        <v>1157</v>
      </c>
      <c r="W202" s="164" t="s">
        <v>1298</v>
      </c>
      <c r="X202" s="59" t="s">
        <v>178</v>
      </c>
      <c r="Y202" s="59" t="s">
        <v>178</v>
      </c>
      <c r="Z202" s="54" t="s">
        <v>443</v>
      </c>
      <c r="AA202" s="54"/>
      <c r="AB202" s="113">
        <v>2020</v>
      </c>
      <c r="AC202" s="113" t="s">
        <v>178</v>
      </c>
      <c r="AD202" s="113" t="s">
        <v>178</v>
      </c>
      <c r="AE202" s="92"/>
    </row>
    <row r="203" spans="1:31" ht="25.5" customHeight="1" x14ac:dyDescent="0.25">
      <c r="A203" s="59" t="s">
        <v>582</v>
      </c>
      <c r="B203" s="59">
        <v>5744</v>
      </c>
      <c r="C203" s="59" t="s">
        <v>774</v>
      </c>
      <c r="D203" s="59" t="s">
        <v>186</v>
      </c>
      <c r="E203" s="113" t="s">
        <v>902</v>
      </c>
      <c r="F203" s="59" t="s">
        <v>832</v>
      </c>
      <c r="G203" s="59" t="s">
        <v>922</v>
      </c>
      <c r="H203" s="59" t="s">
        <v>236</v>
      </c>
      <c r="I203" s="59" t="s">
        <v>118</v>
      </c>
      <c r="J203" s="149" t="s">
        <v>950</v>
      </c>
      <c r="K203" s="149" t="s">
        <v>952</v>
      </c>
      <c r="L203" s="159">
        <v>1408.4932801808702</v>
      </c>
      <c r="M203" s="133" t="s">
        <v>178</v>
      </c>
      <c r="N203" s="59" t="s">
        <v>828</v>
      </c>
      <c r="O203" s="132">
        <v>110</v>
      </c>
      <c r="P203" s="111">
        <v>3243000</v>
      </c>
      <c r="Q203" s="111" t="s">
        <v>114</v>
      </c>
      <c r="R203" s="146" t="s">
        <v>968</v>
      </c>
      <c r="S203" s="149" t="s">
        <v>114</v>
      </c>
      <c r="T203" s="112" t="s">
        <v>833</v>
      </c>
      <c r="U203" s="59" t="s">
        <v>178</v>
      </c>
      <c r="V203" s="164" t="s">
        <v>1158</v>
      </c>
      <c r="W203" s="164" t="s">
        <v>1299</v>
      </c>
      <c r="X203" s="59" t="s">
        <v>178</v>
      </c>
      <c r="Y203" s="59" t="s">
        <v>178</v>
      </c>
      <c r="Z203" s="54" t="s">
        <v>443</v>
      </c>
      <c r="AA203" s="54"/>
      <c r="AB203" s="113">
        <v>2020</v>
      </c>
      <c r="AC203" s="113" t="s">
        <v>178</v>
      </c>
      <c r="AD203" s="113" t="s">
        <v>178</v>
      </c>
      <c r="AE203" s="92"/>
    </row>
    <row r="204" spans="1:31" ht="26.4" x14ac:dyDescent="0.3">
      <c r="A204" s="54" t="s">
        <v>582</v>
      </c>
      <c r="B204" s="54">
        <v>4856</v>
      </c>
      <c r="C204" s="54" t="s">
        <v>28</v>
      </c>
      <c r="D204" s="54" t="s">
        <v>186</v>
      </c>
      <c r="E204" s="54" t="s">
        <v>578</v>
      </c>
      <c r="F204" s="54" t="s">
        <v>579</v>
      </c>
      <c r="G204" s="54" t="s">
        <v>580</v>
      </c>
      <c r="H204" s="54" t="s">
        <v>283</v>
      </c>
      <c r="I204" s="59" t="s">
        <v>118</v>
      </c>
      <c r="J204" s="61" t="s">
        <v>952</v>
      </c>
      <c r="K204" s="61" t="s">
        <v>952</v>
      </c>
      <c r="L204" s="92" t="s">
        <v>114</v>
      </c>
      <c r="M204" s="92" t="s">
        <v>114</v>
      </c>
      <c r="N204" s="54" t="s">
        <v>103</v>
      </c>
      <c r="O204" s="54" t="s">
        <v>114</v>
      </c>
      <c r="P204" s="111">
        <v>3000000</v>
      </c>
      <c r="Q204" s="84" t="s">
        <v>114</v>
      </c>
      <c r="R204" s="54" t="s">
        <v>114</v>
      </c>
      <c r="S204" s="90" t="s">
        <v>114</v>
      </c>
      <c r="T204" s="54" t="s">
        <v>114</v>
      </c>
      <c r="U204" s="59" t="s">
        <v>178</v>
      </c>
      <c r="V204" s="90" t="s">
        <v>1159</v>
      </c>
      <c r="W204" s="90" t="s">
        <v>1300</v>
      </c>
      <c r="X204" s="90" t="s">
        <v>178</v>
      </c>
      <c r="Y204" s="90"/>
      <c r="Z204" s="54" t="s">
        <v>443</v>
      </c>
      <c r="AA204" s="54" t="s">
        <v>322</v>
      </c>
      <c r="AB204" s="54">
        <v>2019</v>
      </c>
      <c r="AC204" s="92" t="s">
        <v>178</v>
      </c>
      <c r="AD204" s="54" t="s">
        <v>178</v>
      </c>
      <c r="AE204" s="54"/>
    </row>
    <row r="205" spans="1:31" ht="26.4" x14ac:dyDescent="0.3">
      <c r="A205" s="54" t="s">
        <v>582</v>
      </c>
      <c r="B205" s="54">
        <v>4857</v>
      </c>
      <c r="C205" s="54" t="s">
        <v>28</v>
      </c>
      <c r="D205" s="54" t="s">
        <v>178</v>
      </c>
      <c r="E205" s="54" t="s">
        <v>581</v>
      </c>
      <c r="F205" s="54" t="s">
        <v>584</v>
      </c>
      <c r="G205" s="54" t="s">
        <v>596</v>
      </c>
      <c r="H205" s="54" t="s">
        <v>116</v>
      </c>
      <c r="I205" s="59" t="s">
        <v>118</v>
      </c>
      <c r="J205" s="61" t="s">
        <v>114</v>
      </c>
      <c r="K205" s="61" t="s">
        <v>114</v>
      </c>
      <c r="L205" s="62" t="s">
        <v>114</v>
      </c>
      <c r="M205" s="62" t="s">
        <v>114</v>
      </c>
      <c r="N205" s="59" t="s">
        <v>103</v>
      </c>
      <c r="O205" s="59" t="s">
        <v>178</v>
      </c>
      <c r="P205" s="120" t="s">
        <v>114</v>
      </c>
      <c r="Q205" s="59" t="s">
        <v>178</v>
      </c>
      <c r="R205" s="59" t="s">
        <v>178</v>
      </c>
      <c r="S205" s="61" t="s">
        <v>178</v>
      </c>
      <c r="T205" s="59" t="s">
        <v>178</v>
      </c>
      <c r="U205" s="59" t="s">
        <v>178</v>
      </c>
      <c r="V205" s="90" t="s">
        <v>1160</v>
      </c>
      <c r="W205" s="90" t="s">
        <v>1301</v>
      </c>
      <c r="X205" s="90" t="s">
        <v>178</v>
      </c>
      <c r="Y205" s="90"/>
      <c r="Z205" s="54" t="s">
        <v>443</v>
      </c>
      <c r="AA205" s="54" t="s">
        <v>322</v>
      </c>
      <c r="AB205" s="54">
        <v>2019</v>
      </c>
      <c r="AC205" s="92" t="s">
        <v>178</v>
      </c>
      <c r="AD205" s="54" t="s">
        <v>178</v>
      </c>
      <c r="AE205" s="54"/>
    </row>
    <row r="206" spans="1:31" x14ac:dyDescent="0.3">
      <c r="A206" s="54" t="s">
        <v>582</v>
      </c>
      <c r="B206" s="54">
        <v>2278</v>
      </c>
      <c r="C206" s="54" t="s">
        <v>102</v>
      </c>
      <c r="D206" s="54" t="s">
        <v>178</v>
      </c>
      <c r="E206" s="54" t="s">
        <v>176</v>
      </c>
      <c r="F206" s="54" t="s">
        <v>397</v>
      </c>
      <c r="G206" s="54" t="s">
        <v>597</v>
      </c>
      <c r="H206" s="54" t="s">
        <v>12</v>
      </c>
      <c r="I206" s="54" t="s">
        <v>1</v>
      </c>
      <c r="J206" s="90" t="s">
        <v>399</v>
      </c>
      <c r="K206" s="90" t="s">
        <v>178</v>
      </c>
      <c r="L206" s="92">
        <v>1.7503417507097307</v>
      </c>
      <c r="M206" s="92">
        <v>0.42032141240466742</v>
      </c>
      <c r="N206" s="54" t="s">
        <v>103</v>
      </c>
      <c r="O206" s="92" t="s">
        <v>178</v>
      </c>
      <c r="P206" s="84" t="s">
        <v>399</v>
      </c>
      <c r="Q206" s="84" t="s">
        <v>399</v>
      </c>
      <c r="R206" s="54" t="s">
        <v>399</v>
      </c>
      <c r="S206" s="90" t="s">
        <v>399</v>
      </c>
      <c r="T206" s="92" t="s">
        <v>178</v>
      </c>
      <c r="U206" s="113" t="s">
        <v>399</v>
      </c>
      <c r="V206" s="181" t="s">
        <v>1161</v>
      </c>
      <c r="W206" s="181" t="s">
        <v>1302</v>
      </c>
      <c r="X206" s="90" t="s">
        <v>178</v>
      </c>
      <c r="Y206" s="90"/>
      <c r="Z206" s="54" t="s">
        <v>446</v>
      </c>
      <c r="AA206" s="54" t="s">
        <v>2</v>
      </c>
      <c r="AB206" s="54">
        <v>2012</v>
      </c>
      <c r="AC206" s="54" t="s">
        <v>399</v>
      </c>
      <c r="AD206" s="54" t="s">
        <v>178</v>
      </c>
      <c r="AE206" s="54"/>
    </row>
    <row r="207" spans="1:31" x14ac:dyDescent="0.3">
      <c r="A207" s="54" t="s">
        <v>582</v>
      </c>
      <c r="B207" s="54">
        <v>2279</v>
      </c>
      <c r="C207" s="54" t="s">
        <v>102</v>
      </c>
      <c r="D207" s="54" t="s">
        <v>178</v>
      </c>
      <c r="E207" s="54" t="s">
        <v>295</v>
      </c>
      <c r="F207" s="54" t="s">
        <v>398</v>
      </c>
      <c r="G207" s="54" t="s">
        <v>597</v>
      </c>
      <c r="H207" s="54" t="s">
        <v>12</v>
      </c>
      <c r="I207" s="54" t="s">
        <v>1</v>
      </c>
      <c r="J207" s="90" t="s">
        <v>399</v>
      </c>
      <c r="K207" s="90" t="s">
        <v>178</v>
      </c>
      <c r="L207" s="92">
        <v>1.7503417507097307</v>
      </c>
      <c r="M207" s="92">
        <v>0.42032141240466742</v>
      </c>
      <c r="N207" s="54" t="s">
        <v>103</v>
      </c>
      <c r="O207" s="92" t="s">
        <v>178</v>
      </c>
      <c r="P207" s="84" t="s">
        <v>399</v>
      </c>
      <c r="Q207" s="84" t="s">
        <v>399</v>
      </c>
      <c r="R207" s="54" t="s">
        <v>399</v>
      </c>
      <c r="S207" s="90" t="s">
        <v>399</v>
      </c>
      <c r="T207" s="92" t="s">
        <v>178</v>
      </c>
      <c r="U207" s="113" t="s">
        <v>399</v>
      </c>
      <c r="V207" s="181" t="s">
        <v>1161</v>
      </c>
      <c r="W207" s="181" t="s">
        <v>1302</v>
      </c>
      <c r="X207" s="90" t="s">
        <v>178</v>
      </c>
      <c r="Y207" s="90"/>
      <c r="Z207" s="54" t="s">
        <v>446</v>
      </c>
      <c r="AA207" s="54" t="s">
        <v>2</v>
      </c>
      <c r="AB207" s="54">
        <v>2012</v>
      </c>
      <c r="AC207" s="54" t="s">
        <v>399</v>
      </c>
      <c r="AD207" s="54" t="s">
        <v>178</v>
      </c>
      <c r="AE207" s="54"/>
    </row>
    <row r="208" spans="1:31" ht="39.6" x14ac:dyDescent="0.3">
      <c r="A208" s="54" t="s">
        <v>582</v>
      </c>
      <c r="B208" s="54">
        <v>5218</v>
      </c>
      <c r="C208" s="54" t="s">
        <v>693</v>
      </c>
      <c r="D208" s="54" t="s">
        <v>567</v>
      </c>
      <c r="E208" s="54" t="s">
        <v>694</v>
      </c>
      <c r="F208" s="54" t="s">
        <v>695</v>
      </c>
      <c r="G208" s="54" t="s">
        <v>696</v>
      </c>
      <c r="H208" s="54" t="s">
        <v>486</v>
      </c>
      <c r="I208" s="54" t="s">
        <v>118</v>
      </c>
      <c r="J208" s="90" t="s">
        <v>399</v>
      </c>
      <c r="K208" s="90" t="s">
        <v>950</v>
      </c>
      <c r="L208" s="92">
        <v>1252.7</v>
      </c>
      <c r="M208" s="92" t="s">
        <v>178</v>
      </c>
      <c r="N208" s="54" t="s">
        <v>762</v>
      </c>
      <c r="O208" s="92">
        <v>86.5</v>
      </c>
      <c r="P208" s="84">
        <v>994420</v>
      </c>
      <c r="Q208" s="111" t="s">
        <v>178</v>
      </c>
      <c r="R208" s="54" t="s">
        <v>186</v>
      </c>
      <c r="S208" s="90" t="s">
        <v>742</v>
      </c>
      <c r="T208" s="54" t="s">
        <v>743</v>
      </c>
      <c r="U208" s="113" t="s">
        <v>178</v>
      </c>
      <c r="V208" s="90" t="s">
        <v>399</v>
      </c>
      <c r="W208" s="90" t="s">
        <v>399</v>
      </c>
      <c r="X208" s="149" t="s">
        <v>968</v>
      </c>
      <c r="Y208" s="90"/>
      <c r="Z208" s="54" t="s">
        <v>443</v>
      </c>
      <c r="AA208" s="54"/>
      <c r="AB208" s="54">
        <v>2019</v>
      </c>
      <c r="AC208" s="54" t="s">
        <v>399</v>
      </c>
      <c r="AD208" s="54" t="s">
        <v>399</v>
      </c>
      <c r="AE208" s="54"/>
    </row>
    <row r="209" spans="1:31" ht="26.4" x14ac:dyDescent="0.3">
      <c r="A209" s="54" t="s">
        <v>582</v>
      </c>
      <c r="B209" s="54">
        <v>5230</v>
      </c>
      <c r="C209" s="54" t="s">
        <v>28</v>
      </c>
      <c r="D209" s="54" t="s">
        <v>178</v>
      </c>
      <c r="E209" s="54" t="s">
        <v>716</v>
      </c>
      <c r="F209" s="54" t="s">
        <v>717</v>
      </c>
      <c r="G209" s="146" t="s">
        <v>936</v>
      </c>
      <c r="H209" s="54" t="s">
        <v>332</v>
      </c>
      <c r="I209" s="59" t="s">
        <v>118</v>
      </c>
      <c r="J209" s="61" t="s">
        <v>950</v>
      </c>
      <c r="K209" s="61" t="s">
        <v>950</v>
      </c>
      <c r="L209" s="92" t="s">
        <v>178</v>
      </c>
      <c r="M209" s="92" t="s">
        <v>178</v>
      </c>
      <c r="N209" s="54" t="s">
        <v>103</v>
      </c>
      <c r="O209" s="54" t="s">
        <v>178</v>
      </c>
      <c r="P209" s="84">
        <v>645000</v>
      </c>
      <c r="Q209" s="84" t="s">
        <v>178</v>
      </c>
      <c r="R209" s="54" t="s">
        <v>336</v>
      </c>
      <c r="S209" s="90" t="s">
        <v>178</v>
      </c>
      <c r="T209" s="54" t="s">
        <v>178</v>
      </c>
      <c r="U209" s="59" t="s">
        <v>178</v>
      </c>
      <c r="V209" s="61" t="s">
        <v>399</v>
      </c>
      <c r="W209" s="61" t="s">
        <v>399</v>
      </c>
      <c r="X209" s="90" t="s">
        <v>178</v>
      </c>
      <c r="Y209" s="90"/>
      <c r="Z209" s="54" t="s">
        <v>446</v>
      </c>
      <c r="AA209" s="137"/>
      <c r="AB209" s="54">
        <v>2019</v>
      </c>
      <c r="AC209" s="54" t="s">
        <v>178</v>
      </c>
      <c r="AD209" s="92" t="s">
        <v>178</v>
      </c>
      <c r="AE209" s="54"/>
    </row>
    <row r="210" spans="1:31" ht="26.4" x14ac:dyDescent="0.3">
      <c r="A210" s="59" t="s">
        <v>582</v>
      </c>
      <c r="B210" s="59">
        <v>5745</v>
      </c>
      <c r="C210" s="59" t="s">
        <v>28</v>
      </c>
      <c r="D210" s="59" t="s">
        <v>178</v>
      </c>
      <c r="E210" s="113" t="s">
        <v>865</v>
      </c>
      <c r="F210" s="59" t="s">
        <v>866</v>
      </c>
      <c r="G210" s="59" t="s">
        <v>85</v>
      </c>
      <c r="H210" s="59" t="s">
        <v>473</v>
      </c>
      <c r="I210" s="59" t="s">
        <v>2</v>
      </c>
      <c r="J210" s="61" t="s">
        <v>794</v>
      </c>
      <c r="K210" s="61" t="s">
        <v>794</v>
      </c>
      <c r="L210" s="118">
        <v>1.7304584191971344</v>
      </c>
      <c r="M210" s="118">
        <v>0.26411505700228588</v>
      </c>
      <c r="N210" s="59" t="s">
        <v>103</v>
      </c>
      <c r="O210" s="138">
        <v>91.726565258633642</v>
      </c>
      <c r="P210" s="111">
        <v>2659059</v>
      </c>
      <c r="Q210" s="111" t="s">
        <v>114</v>
      </c>
      <c r="R210" s="59" t="s">
        <v>336</v>
      </c>
      <c r="S210" s="149" t="s">
        <v>1008</v>
      </c>
      <c r="T210" s="59" t="s">
        <v>178</v>
      </c>
      <c r="U210" s="59" t="s">
        <v>178</v>
      </c>
      <c r="V210" s="61" t="s">
        <v>1162</v>
      </c>
      <c r="W210" s="61" t="s">
        <v>1303</v>
      </c>
      <c r="X210" s="61" t="s">
        <v>178</v>
      </c>
      <c r="Y210" s="90"/>
      <c r="Z210" s="54" t="s">
        <v>446</v>
      </c>
      <c r="AA210" s="137"/>
      <c r="AB210" s="113">
        <v>2020</v>
      </c>
      <c r="AC210" s="113" t="s">
        <v>178</v>
      </c>
      <c r="AD210" s="113" t="s">
        <v>178</v>
      </c>
      <c r="AE210" s="54"/>
    </row>
    <row r="211" spans="1:31" ht="26.4" x14ac:dyDescent="0.3">
      <c r="A211" s="54" t="s">
        <v>582</v>
      </c>
      <c r="B211" s="54">
        <v>5219</v>
      </c>
      <c r="C211" s="54" t="s">
        <v>697</v>
      </c>
      <c r="D211" s="54" t="s">
        <v>178</v>
      </c>
      <c r="E211" s="54" t="s">
        <v>698</v>
      </c>
      <c r="F211" s="54" t="s">
        <v>699</v>
      </c>
      <c r="G211" s="54" t="s">
        <v>713</v>
      </c>
      <c r="H211" s="54" t="s">
        <v>12</v>
      </c>
      <c r="I211" s="54" t="s">
        <v>1</v>
      </c>
      <c r="J211" s="90" t="s">
        <v>399</v>
      </c>
      <c r="K211" s="90" t="s">
        <v>178</v>
      </c>
      <c r="L211" s="92">
        <v>66.242142460780002</v>
      </c>
      <c r="M211" s="92">
        <v>7.6119449637880008</v>
      </c>
      <c r="N211" s="54" t="s">
        <v>763</v>
      </c>
      <c r="O211" s="92">
        <v>250.7</v>
      </c>
      <c r="P211" s="49" t="s">
        <v>399</v>
      </c>
      <c r="Q211" s="49" t="s">
        <v>399</v>
      </c>
      <c r="R211" s="54" t="s">
        <v>399</v>
      </c>
      <c r="S211" s="90" t="s">
        <v>399</v>
      </c>
      <c r="T211" s="54" t="s">
        <v>178</v>
      </c>
      <c r="U211" s="113" t="s">
        <v>399</v>
      </c>
      <c r="V211" s="90" t="s">
        <v>399</v>
      </c>
      <c r="W211" s="90" t="s">
        <v>399</v>
      </c>
      <c r="X211" s="90" t="s">
        <v>178</v>
      </c>
      <c r="Y211" s="90"/>
      <c r="Z211" s="54" t="s">
        <v>446</v>
      </c>
      <c r="AA211" s="54"/>
      <c r="AB211" s="54">
        <v>2019</v>
      </c>
      <c r="AC211" s="54" t="s">
        <v>399</v>
      </c>
      <c r="AD211" s="54" t="s">
        <v>399</v>
      </c>
      <c r="AE211" s="54"/>
    </row>
    <row r="212" spans="1:31" ht="26.4" x14ac:dyDescent="0.3">
      <c r="A212" s="54" t="s">
        <v>582</v>
      </c>
      <c r="B212" s="54">
        <v>5220</v>
      </c>
      <c r="C212" s="54" t="s">
        <v>697</v>
      </c>
      <c r="D212" s="54" t="s">
        <v>178</v>
      </c>
      <c r="E212" s="54" t="s">
        <v>700</v>
      </c>
      <c r="F212" s="54" t="s">
        <v>613</v>
      </c>
      <c r="G212" s="54" t="s">
        <v>761</v>
      </c>
      <c r="H212" s="54" t="s">
        <v>106</v>
      </c>
      <c r="I212" s="54" t="s">
        <v>2</v>
      </c>
      <c r="J212" s="90" t="s">
        <v>399</v>
      </c>
      <c r="K212" s="102" t="s">
        <v>760</v>
      </c>
      <c r="L212" s="92" t="s">
        <v>114</v>
      </c>
      <c r="M212" s="92" t="s">
        <v>114</v>
      </c>
      <c r="N212" s="54" t="s">
        <v>763</v>
      </c>
      <c r="O212" s="113" t="s">
        <v>178</v>
      </c>
      <c r="P212" s="49" t="s">
        <v>399</v>
      </c>
      <c r="Q212" s="49" t="s">
        <v>399</v>
      </c>
      <c r="R212" s="54" t="s">
        <v>399</v>
      </c>
      <c r="S212" s="90" t="s">
        <v>399</v>
      </c>
      <c r="T212" s="54" t="s">
        <v>178</v>
      </c>
      <c r="U212" s="113" t="s">
        <v>399</v>
      </c>
      <c r="V212" s="90" t="s">
        <v>1163</v>
      </c>
      <c r="W212" s="90" t="s">
        <v>1304</v>
      </c>
      <c r="X212" s="90" t="s">
        <v>178</v>
      </c>
      <c r="Y212" s="54"/>
      <c r="Z212" s="54" t="s">
        <v>443</v>
      </c>
      <c r="AA212" s="54"/>
      <c r="AB212" s="54">
        <v>2019</v>
      </c>
      <c r="AC212" s="54" t="s">
        <v>399</v>
      </c>
      <c r="AD212" s="54" t="s">
        <v>399</v>
      </c>
      <c r="AE212" s="54"/>
    </row>
    <row r="213" spans="1:31" x14ac:dyDescent="0.3">
      <c r="A213" s="54" t="s">
        <v>582</v>
      </c>
      <c r="B213" s="54">
        <v>5221</v>
      </c>
      <c r="C213" s="54" t="s">
        <v>697</v>
      </c>
      <c r="D213" s="54" t="s">
        <v>178</v>
      </c>
      <c r="E213" s="54" t="s">
        <v>701</v>
      </c>
      <c r="F213" s="54" t="s">
        <v>702</v>
      </c>
      <c r="G213" s="146" t="s">
        <v>937</v>
      </c>
      <c r="H213" s="54" t="s">
        <v>473</v>
      </c>
      <c r="I213" s="54" t="s">
        <v>2</v>
      </c>
      <c r="J213" s="90" t="s">
        <v>399</v>
      </c>
      <c r="K213" s="90" t="s">
        <v>949</v>
      </c>
      <c r="L213" s="92" t="s">
        <v>114</v>
      </c>
      <c r="M213" s="92" t="s">
        <v>114</v>
      </c>
      <c r="N213" s="54" t="s">
        <v>763</v>
      </c>
      <c r="O213" s="113" t="s">
        <v>178</v>
      </c>
      <c r="P213" s="49" t="s">
        <v>399</v>
      </c>
      <c r="Q213" s="49" t="s">
        <v>399</v>
      </c>
      <c r="R213" s="54" t="s">
        <v>399</v>
      </c>
      <c r="S213" s="90" t="s">
        <v>399</v>
      </c>
      <c r="T213" s="54" t="s">
        <v>178</v>
      </c>
      <c r="U213" s="113" t="s">
        <v>399</v>
      </c>
      <c r="V213" s="61" t="s">
        <v>1164</v>
      </c>
      <c r="W213" s="61" t="s">
        <v>1305</v>
      </c>
      <c r="X213" s="90" t="s">
        <v>178</v>
      </c>
      <c r="Y213" s="54"/>
      <c r="Z213" s="54" t="s">
        <v>446</v>
      </c>
      <c r="AA213" s="54"/>
      <c r="AB213" s="54">
        <v>2019</v>
      </c>
      <c r="AC213" s="54" t="s">
        <v>399</v>
      </c>
      <c r="AD213" s="54" t="s">
        <v>399</v>
      </c>
      <c r="AE213" s="54"/>
    </row>
    <row r="214" spans="1:31" ht="26.4" x14ac:dyDescent="0.3">
      <c r="A214" s="54" t="s">
        <v>582</v>
      </c>
      <c r="B214" s="54">
        <v>5222</v>
      </c>
      <c r="C214" s="54" t="s">
        <v>697</v>
      </c>
      <c r="D214" s="54" t="s">
        <v>178</v>
      </c>
      <c r="E214" s="54" t="s">
        <v>703</v>
      </c>
      <c r="F214" s="54" t="s">
        <v>493</v>
      </c>
      <c r="G214" s="54" t="s">
        <v>704</v>
      </c>
      <c r="H214" s="54" t="s">
        <v>493</v>
      </c>
      <c r="I214" s="54" t="s">
        <v>2</v>
      </c>
      <c r="J214" s="90" t="s">
        <v>399</v>
      </c>
      <c r="K214" s="102" t="s">
        <v>794</v>
      </c>
      <c r="L214" s="92" t="s">
        <v>114</v>
      </c>
      <c r="M214" s="92" t="s">
        <v>114</v>
      </c>
      <c r="N214" s="54" t="s">
        <v>763</v>
      </c>
      <c r="O214" s="113" t="s">
        <v>178</v>
      </c>
      <c r="P214" s="49" t="s">
        <v>399</v>
      </c>
      <c r="Q214" s="49" t="s">
        <v>399</v>
      </c>
      <c r="R214" s="54" t="s">
        <v>399</v>
      </c>
      <c r="S214" s="90" t="s">
        <v>399</v>
      </c>
      <c r="T214" s="54" t="s">
        <v>178</v>
      </c>
      <c r="U214" s="113" t="s">
        <v>399</v>
      </c>
      <c r="V214" s="61" t="s">
        <v>1164</v>
      </c>
      <c r="W214" s="61" t="s">
        <v>1305</v>
      </c>
      <c r="X214" s="90" t="s">
        <v>178</v>
      </c>
      <c r="Y214" s="54"/>
      <c r="Z214" s="54" t="s">
        <v>443</v>
      </c>
      <c r="AA214" s="54"/>
      <c r="AB214" s="54">
        <v>2019</v>
      </c>
      <c r="AC214" s="54" t="s">
        <v>399</v>
      </c>
      <c r="AD214" s="54" t="s">
        <v>399</v>
      </c>
      <c r="AE214" s="54"/>
    </row>
    <row r="215" spans="1:31" ht="26.4" x14ac:dyDescent="0.3">
      <c r="A215" s="54" t="s">
        <v>582</v>
      </c>
      <c r="B215" s="54">
        <v>5223</v>
      </c>
      <c r="C215" s="54" t="s">
        <v>705</v>
      </c>
      <c r="D215" s="54" t="s">
        <v>722</v>
      </c>
      <c r="E215" s="54" t="s">
        <v>706</v>
      </c>
      <c r="F215" s="54" t="s">
        <v>602</v>
      </c>
      <c r="G215" s="54" t="s">
        <v>603</v>
      </c>
      <c r="H215" s="54" t="s">
        <v>12</v>
      </c>
      <c r="I215" s="54" t="s">
        <v>118</v>
      </c>
      <c r="J215" s="61" t="s">
        <v>798</v>
      </c>
      <c r="K215" s="90" t="s">
        <v>178</v>
      </c>
      <c r="L215" s="92" t="s">
        <v>178</v>
      </c>
      <c r="M215" s="92" t="s">
        <v>178</v>
      </c>
      <c r="N215" s="54" t="s">
        <v>762</v>
      </c>
      <c r="O215" s="92" t="s">
        <v>178</v>
      </c>
      <c r="P215" s="119">
        <v>500</v>
      </c>
      <c r="Q215" s="49" t="s">
        <v>178</v>
      </c>
      <c r="R215" s="54" t="s">
        <v>705</v>
      </c>
      <c r="S215" s="155" t="s">
        <v>974</v>
      </c>
      <c r="T215" s="54" t="s">
        <v>178</v>
      </c>
      <c r="U215" s="140" t="s">
        <v>178</v>
      </c>
      <c r="V215" s="61" t="s">
        <v>1165</v>
      </c>
      <c r="W215" s="61" t="s">
        <v>1306</v>
      </c>
      <c r="X215" s="90" t="s">
        <v>178</v>
      </c>
      <c r="Y215" s="90"/>
      <c r="Z215" s="54" t="s">
        <v>446</v>
      </c>
      <c r="AA215" s="54"/>
      <c r="AB215" s="54">
        <v>2019</v>
      </c>
      <c r="AC215" s="54" t="s">
        <v>399</v>
      </c>
      <c r="AD215" s="54" t="s">
        <v>399</v>
      </c>
      <c r="AE215" s="54"/>
    </row>
    <row r="216" spans="1:31" ht="26.4" x14ac:dyDescent="0.3">
      <c r="A216" s="54" t="s">
        <v>582</v>
      </c>
      <c r="B216" s="54">
        <v>5224</v>
      </c>
      <c r="C216" s="54" t="s">
        <v>705</v>
      </c>
      <c r="D216" s="54" t="s">
        <v>96</v>
      </c>
      <c r="E216" s="54" t="s">
        <v>707</v>
      </c>
      <c r="F216" s="54" t="s">
        <v>605</v>
      </c>
      <c r="G216" s="54" t="s">
        <v>606</v>
      </c>
      <c r="H216" s="54" t="s">
        <v>444</v>
      </c>
      <c r="I216" s="54" t="s">
        <v>118</v>
      </c>
      <c r="J216" s="61" t="s">
        <v>798</v>
      </c>
      <c r="K216" s="90" t="s">
        <v>178</v>
      </c>
      <c r="L216" s="92" t="s">
        <v>178</v>
      </c>
      <c r="M216" s="92" t="s">
        <v>178</v>
      </c>
      <c r="N216" s="54" t="s">
        <v>762</v>
      </c>
      <c r="O216" s="92" t="s">
        <v>178</v>
      </c>
      <c r="P216" s="119">
        <v>1000</v>
      </c>
      <c r="Q216" s="49" t="s">
        <v>178</v>
      </c>
      <c r="R216" s="54" t="s">
        <v>705</v>
      </c>
      <c r="S216" s="155" t="s">
        <v>975</v>
      </c>
      <c r="T216" s="54" t="s">
        <v>178</v>
      </c>
      <c r="U216" s="140" t="s">
        <v>178</v>
      </c>
      <c r="V216" s="61" t="s">
        <v>1165</v>
      </c>
      <c r="W216" s="61" t="s">
        <v>1306</v>
      </c>
      <c r="X216" s="90" t="s">
        <v>178</v>
      </c>
      <c r="Y216" s="90"/>
      <c r="Z216" s="54" t="s">
        <v>446</v>
      </c>
      <c r="AA216" s="54"/>
      <c r="AB216" s="54">
        <v>2019</v>
      </c>
      <c r="AC216" s="54" t="s">
        <v>399</v>
      </c>
      <c r="AD216" s="54" t="s">
        <v>399</v>
      </c>
      <c r="AE216" s="54"/>
    </row>
    <row r="217" spans="1:31" ht="26.4" x14ac:dyDescent="0.3">
      <c r="A217" s="54" t="s">
        <v>582</v>
      </c>
      <c r="B217" s="54">
        <v>5225</v>
      </c>
      <c r="C217" s="54" t="s">
        <v>705</v>
      </c>
      <c r="D217" s="54" t="s">
        <v>178</v>
      </c>
      <c r="E217" s="54" t="s">
        <v>708</v>
      </c>
      <c r="F217" s="54" t="s">
        <v>608</v>
      </c>
      <c r="G217" s="146" t="s">
        <v>926</v>
      </c>
      <c r="H217" s="54" t="s">
        <v>107</v>
      </c>
      <c r="I217" s="54" t="s">
        <v>2</v>
      </c>
      <c r="J217" s="61" t="s">
        <v>798</v>
      </c>
      <c r="K217" s="102" t="s">
        <v>798</v>
      </c>
      <c r="L217" s="92" t="s">
        <v>178</v>
      </c>
      <c r="M217" s="92" t="s">
        <v>178</v>
      </c>
      <c r="N217" s="54" t="s">
        <v>762</v>
      </c>
      <c r="O217" s="92" t="s">
        <v>178</v>
      </c>
      <c r="P217" s="119">
        <v>0</v>
      </c>
      <c r="Q217" s="49" t="s">
        <v>178</v>
      </c>
      <c r="R217" s="54" t="s">
        <v>705</v>
      </c>
      <c r="S217" s="156" t="s">
        <v>178</v>
      </c>
      <c r="T217" s="54" t="s">
        <v>178</v>
      </c>
      <c r="U217" s="140" t="s">
        <v>178</v>
      </c>
      <c r="V217" s="61" t="s">
        <v>1166</v>
      </c>
      <c r="W217" s="61" t="s">
        <v>885</v>
      </c>
      <c r="X217" s="90" t="s">
        <v>178</v>
      </c>
      <c r="Y217" s="90"/>
      <c r="Z217" s="54" t="s">
        <v>446</v>
      </c>
      <c r="AA217" s="54"/>
      <c r="AB217" s="54">
        <v>2019</v>
      </c>
      <c r="AC217" s="54" t="s">
        <v>399</v>
      </c>
      <c r="AD217" s="54" t="s">
        <v>399</v>
      </c>
      <c r="AE217" s="54"/>
    </row>
    <row r="218" spans="1:31" ht="26.4" x14ac:dyDescent="0.3">
      <c r="A218" s="54" t="s">
        <v>582</v>
      </c>
      <c r="B218" s="54">
        <v>5226</v>
      </c>
      <c r="C218" s="54" t="s">
        <v>705</v>
      </c>
      <c r="D218" s="54" t="s">
        <v>178</v>
      </c>
      <c r="E218" s="54" t="s">
        <v>709</v>
      </c>
      <c r="F218" s="54" t="s">
        <v>666</v>
      </c>
      <c r="G218" s="54" t="s">
        <v>667</v>
      </c>
      <c r="H218" s="54" t="s">
        <v>106</v>
      </c>
      <c r="I218" s="54" t="s">
        <v>118</v>
      </c>
      <c r="J218" s="61" t="s">
        <v>950</v>
      </c>
      <c r="K218" s="90" t="s">
        <v>114</v>
      </c>
      <c r="L218" s="92" t="s">
        <v>178</v>
      </c>
      <c r="M218" s="92" t="s">
        <v>178</v>
      </c>
      <c r="N218" s="54" t="s">
        <v>762</v>
      </c>
      <c r="O218" s="92" t="s">
        <v>178</v>
      </c>
      <c r="P218" s="119">
        <v>4500</v>
      </c>
      <c r="Q218" s="49" t="s">
        <v>178</v>
      </c>
      <c r="R218" s="54" t="s">
        <v>705</v>
      </c>
      <c r="S218" s="155" t="s">
        <v>1009</v>
      </c>
      <c r="T218" s="54" t="s">
        <v>178</v>
      </c>
      <c r="U218" s="140" t="s">
        <v>178</v>
      </c>
      <c r="V218" s="61" t="s">
        <v>1166</v>
      </c>
      <c r="W218" s="61" t="s">
        <v>885</v>
      </c>
      <c r="X218" s="90" t="s">
        <v>178</v>
      </c>
      <c r="Y218" s="90"/>
      <c r="Z218" s="54" t="s">
        <v>443</v>
      </c>
      <c r="AA218" s="54"/>
      <c r="AB218" s="54">
        <v>2019</v>
      </c>
      <c r="AC218" s="54" t="s">
        <v>399</v>
      </c>
      <c r="AD218" s="54" t="s">
        <v>399</v>
      </c>
      <c r="AE218" s="54"/>
    </row>
    <row r="219" spans="1:31" ht="26.4" x14ac:dyDescent="0.3">
      <c r="A219" s="54" t="s">
        <v>582</v>
      </c>
      <c r="B219" s="54">
        <v>5227</v>
      </c>
      <c r="C219" s="54" t="s">
        <v>705</v>
      </c>
      <c r="D219" s="54" t="s">
        <v>178</v>
      </c>
      <c r="E219" s="54" t="s">
        <v>710</v>
      </c>
      <c r="F219" s="54" t="s">
        <v>613</v>
      </c>
      <c r="G219" s="54" t="s">
        <v>614</v>
      </c>
      <c r="H219" s="54" t="s">
        <v>106</v>
      </c>
      <c r="I219" s="54" t="s">
        <v>1</v>
      </c>
      <c r="J219" s="61" t="s">
        <v>950</v>
      </c>
      <c r="K219" s="90" t="s">
        <v>178</v>
      </c>
      <c r="L219" s="92" t="s">
        <v>178</v>
      </c>
      <c r="M219" s="92" t="s">
        <v>178</v>
      </c>
      <c r="N219" s="54" t="s">
        <v>762</v>
      </c>
      <c r="O219" s="92" t="s">
        <v>178</v>
      </c>
      <c r="P219" s="119">
        <v>2500</v>
      </c>
      <c r="Q219" s="49" t="s">
        <v>178</v>
      </c>
      <c r="R219" s="54" t="s">
        <v>705</v>
      </c>
      <c r="S219" s="155" t="s">
        <v>982</v>
      </c>
      <c r="T219" s="54" t="s">
        <v>178</v>
      </c>
      <c r="U219" s="140" t="s">
        <v>178</v>
      </c>
      <c r="V219" s="61" t="s">
        <v>1167</v>
      </c>
      <c r="W219" s="61" t="s">
        <v>1307</v>
      </c>
      <c r="X219" s="90" t="s">
        <v>178</v>
      </c>
      <c r="Y219" s="90"/>
      <c r="Z219" s="54" t="s">
        <v>443</v>
      </c>
      <c r="AA219" s="54"/>
      <c r="AB219" s="54">
        <v>2019</v>
      </c>
      <c r="AC219" s="54" t="s">
        <v>399</v>
      </c>
      <c r="AD219" s="54" t="s">
        <v>399</v>
      </c>
      <c r="AE219" s="54"/>
    </row>
    <row r="220" spans="1:31" ht="26.4" x14ac:dyDescent="0.3">
      <c r="A220" s="54" t="s">
        <v>582</v>
      </c>
      <c r="B220" s="54">
        <v>5228</v>
      </c>
      <c r="C220" s="54" t="s">
        <v>711</v>
      </c>
      <c r="D220" s="54" t="s">
        <v>178</v>
      </c>
      <c r="E220" s="54" t="s">
        <v>712</v>
      </c>
      <c r="F220" s="54" t="s">
        <v>699</v>
      </c>
      <c r="G220" s="54" t="s">
        <v>713</v>
      </c>
      <c r="H220" s="54" t="s">
        <v>12</v>
      </c>
      <c r="I220" s="54" t="s">
        <v>1</v>
      </c>
      <c r="J220" s="90" t="s">
        <v>399</v>
      </c>
      <c r="K220" s="90" t="s">
        <v>178</v>
      </c>
      <c r="L220" s="92">
        <v>116.54315594848701</v>
      </c>
      <c r="M220" s="92">
        <v>15.051627967223292</v>
      </c>
      <c r="N220" s="54" t="s">
        <v>103</v>
      </c>
      <c r="O220" s="92">
        <v>452</v>
      </c>
      <c r="P220" s="49" t="s">
        <v>399</v>
      </c>
      <c r="Q220" s="49" t="s">
        <v>399</v>
      </c>
      <c r="R220" s="54" t="s">
        <v>399</v>
      </c>
      <c r="S220" s="90" t="s">
        <v>399</v>
      </c>
      <c r="T220" s="54" t="s">
        <v>178</v>
      </c>
      <c r="U220" s="113" t="s">
        <v>399</v>
      </c>
      <c r="V220" s="90" t="s">
        <v>399</v>
      </c>
      <c r="W220" s="90" t="s">
        <v>399</v>
      </c>
      <c r="X220" s="90" t="s">
        <v>178</v>
      </c>
      <c r="Y220" s="90"/>
      <c r="Z220" s="54" t="s">
        <v>446</v>
      </c>
      <c r="AA220" s="54"/>
      <c r="AB220" s="54">
        <v>2019</v>
      </c>
      <c r="AC220" s="54" t="s">
        <v>399</v>
      </c>
      <c r="AD220" s="54" t="s">
        <v>399</v>
      </c>
      <c r="AE220" s="54"/>
    </row>
    <row r="221" spans="1:31" ht="26.4" x14ac:dyDescent="0.3">
      <c r="A221" s="54" t="s">
        <v>582</v>
      </c>
      <c r="B221" s="54">
        <v>5229</v>
      </c>
      <c r="C221" s="54" t="s">
        <v>714</v>
      </c>
      <c r="D221" s="54" t="s">
        <v>178</v>
      </c>
      <c r="E221" s="54" t="s">
        <v>715</v>
      </c>
      <c r="F221" s="54" t="s">
        <v>699</v>
      </c>
      <c r="G221" s="54" t="s">
        <v>713</v>
      </c>
      <c r="H221" s="54" t="s">
        <v>12</v>
      </c>
      <c r="I221" s="54" t="s">
        <v>1</v>
      </c>
      <c r="J221" s="90" t="s">
        <v>399</v>
      </c>
      <c r="K221" s="90" t="s">
        <v>178</v>
      </c>
      <c r="L221" s="92">
        <v>180.34872436642615</v>
      </c>
      <c r="M221" s="92">
        <v>29.137580185064948</v>
      </c>
      <c r="N221" s="54" t="s">
        <v>103</v>
      </c>
      <c r="O221" s="92">
        <v>488.8</v>
      </c>
      <c r="P221" s="49" t="s">
        <v>399</v>
      </c>
      <c r="Q221" s="49" t="s">
        <v>399</v>
      </c>
      <c r="R221" s="54" t="s">
        <v>399</v>
      </c>
      <c r="S221" s="90" t="s">
        <v>399</v>
      </c>
      <c r="T221" s="54" t="s">
        <v>178</v>
      </c>
      <c r="U221" s="113" t="s">
        <v>399</v>
      </c>
      <c r="V221" s="90" t="s">
        <v>399</v>
      </c>
      <c r="W221" s="90" t="s">
        <v>399</v>
      </c>
      <c r="X221" s="90" t="s">
        <v>178</v>
      </c>
      <c r="Y221" s="90"/>
      <c r="Z221" s="54" t="s">
        <v>446</v>
      </c>
      <c r="AA221" s="54"/>
      <c r="AB221" s="54">
        <v>2019</v>
      </c>
      <c r="AC221" s="54" t="s">
        <v>399</v>
      </c>
      <c r="AD221" s="54" t="s">
        <v>399</v>
      </c>
      <c r="AE221" s="54"/>
    </row>
    <row r="222" spans="1:31" ht="14.4" x14ac:dyDescent="0.3">
      <c r="A222" s="59" t="s">
        <v>582</v>
      </c>
      <c r="B222" s="59">
        <v>5746</v>
      </c>
      <c r="C222" s="59" t="s">
        <v>28</v>
      </c>
      <c r="D222" s="59" t="s">
        <v>178</v>
      </c>
      <c r="E222" s="113" t="s">
        <v>867</v>
      </c>
      <c r="F222" s="59" t="s">
        <v>868</v>
      </c>
      <c r="G222" s="59" t="s">
        <v>85</v>
      </c>
      <c r="H222" s="59" t="s">
        <v>473</v>
      </c>
      <c r="I222" s="59" t="s">
        <v>2</v>
      </c>
      <c r="J222" s="61" t="s">
        <v>798</v>
      </c>
      <c r="K222" s="61" t="s">
        <v>798</v>
      </c>
      <c r="L222" s="118">
        <v>23.638535674686636</v>
      </c>
      <c r="M222" s="118">
        <v>5.5515007653417783</v>
      </c>
      <c r="N222" s="59" t="s">
        <v>103</v>
      </c>
      <c r="O222" s="138">
        <v>179.46269003342599</v>
      </c>
      <c r="P222" s="111">
        <v>6050000</v>
      </c>
      <c r="Q222" s="111" t="s">
        <v>114</v>
      </c>
      <c r="R222" s="59" t="s">
        <v>336</v>
      </c>
      <c r="S222" s="61" t="s">
        <v>178</v>
      </c>
      <c r="T222" s="59" t="s">
        <v>178</v>
      </c>
      <c r="U222" s="59" t="s">
        <v>178</v>
      </c>
      <c r="V222" s="61" t="s">
        <v>1168</v>
      </c>
      <c r="W222" s="61" t="s">
        <v>1308</v>
      </c>
      <c r="X222" s="61" t="s">
        <v>178</v>
      </c>
      <c r="Y222" s="90"/>
      <c r="Z222" s="54" t="s">
        <v>446</v>
      </c>
      <c r="AA222" s="137"/>
      <c r="AB222" s="113">
        <v>2020</v>
      </c>
      <c r="AC222" s="113" t="s">
        <v>178</v>
      </c>
      <c r="AD222" s="113" t="s">
        <v>178</v>
      </c>
      <c r="AE222" s="54"/>
    </row>
    <row r="223" spans="1:31" ht="14.4" x14ac:dyDescent="0.3">
      <c r="A223" s="59" t="s">
        <v>582</v>
      </c>
      <c r="B223" s="59">
        <v>5747</v>
      </c>
      <c r="C223" s="59" t="s">
        <v>28</v>
      </c>
      <c r="D223" s="59" t="s">
        <v>178</v>
      </c>
      <c r="E223" s="113" t="s">
        <v>869</v>
      </c>
      <c r="F223" s="59" t="s">
        <v>872</v>
      </c>
      <c r="G223" s="59" t="s">
        <v>85</v>
      </c>
      <c r="H223" s="59" t="s">
        <v>473</v>
      </c>
      <c r="I223" s="59" t="s">
        <v>2</v>
      </c>
      <c r="J223" s="61" t="s">
        <v>964</v>
      </c>
      <c r="K223" s="61" t="s">
        <v>949</v>
      </c>
      <c r="L223" s="118">
        <v>1909.6228435501757</v>
      </c>
      <c r="M223" s="118">
        <v>163.71207505076345</v>
      </c>
      <c r="N223" s="59" t="s">
        <v>763</v>
      </c>
      <c r="O223" s="138">
        <v>1175.8469408968199</v>
      </c>
      <c r="P223" s="111">
        <v>16847808.5</v>
      </c>
      <c r="Q223" s="111" t="s">
        <v>114</v>
      </c>
      <c r="R223" s="59" t="s">
        <v>336</v>
      </c>
      <c r="S223" s="61" t="s">
        <v>178</v>
      </c>
      <c r="T223" s="59" t="s">
        <v>178</v>
      </c>
      <c r="U223" s="59" t="s">
        <v>178</v>
      </c>
      <c r="V223" s="61" t="s">
        <v>1169</v>
      </c>
      <c r="W223" s="61" t="s">
        <v>1309</v>
      </c>
      <c r="X223" s="61" t="s">
        <v>178</v>
      </c>
      <c r="Y223" s="90"/>
      <c r="Z223" s="54" t="s">
        <v>446</v>
      </c>
      <c r="AA223" s="137"/>
      <c r="AB223" s="113">
        <v>2020</v>
      </c>
      <c r="AC223" s="113" t="s">
        <v>178</v>
      </c>
      <c r="AD223" s="113" t="s">
        <v>178</v>
      </c>
      <c r="AE223" s="54"/>
    </row>
    <row r="224" spans="1:31" ht="26.4" x14ac:dyDescent="0.3">
      <c r="A224" s="59" t="s">
        <v>582</v>
      </c>
      <c r="B224" s="59">
        <v>5748</v>
      </c>
      <c r="C224" s="59" t="s">
        <v>28</v>
      </c>
      <c r="D224" s="59" t="s">
        <v>178</v>
      </c>
      <c r="E224" s="113" t="s">
        <v>870</v>
      </c>
      <c r="F224" s="59" t="s">
        <v>871</v>
      </c>
      <c r="G224" s="59" t="s">
        <v>918</v>
      </c>
      <c r="H224" s="59" t="s">
        <v>332</v>
      </c>
      <c r="I224" s="59" t="s">
        <v>118</v>
      </c>
      <c r="J224" s="61" t="s">
        <v>950</v>
      </c>
      <c r="K224" s="61" t="s">
        <v>953</v>
      </c>
      <c r="L224" s="118" t="s">
        <v>178</v>
      </c>
      <c r="M224" s="118" t="s">
        <v>178</v>
      </c>
      <c r="N224" s="59" t="s">
        <v>103</v>
      </c>
      <c r="O224" s="138" t="s">
        <v>178</v>
      </c>
      <c r="P224" s="111" t="s">
        <v>114</v>
      </c>
      <c r="Q224" s="111" t="s">
        <v>178</v>
      </c>
      <c r="R224" s="59" t="s">
        <v>336</v>
      </c>
      <c r="S224" s="61" t="s">
        <v>114</v>
      </c>
      <c r="T224" s="59" t="s">
        <v>114</v>
      </c>
      <c r="U224" s="59" t="s">
        <v>178</v>
      </c>
      <c r="V224" s="61" t="s">
        <v>399</v>
      </c>
      <c r="W224" s="61" t="s">
        <v>399</v>
      </c>
      <c r="X224" s="61" t="s">
        <v>1029</v>
      </c>
      <c r="Y224" s="90"/>
      <c r="Z224" s="54" t="s">
        <v>446</v>
      </c>
      <c r="AA224" s="137"/>
      <c r="AB224" s="113">
        <v>2020</v>
      </c>
      <c r="AC224" s="113" t="s">
        <v>178</v>
      </c>
      <c r="AD224" s="118" t="s">
        <v>178</v>
      </c>
      <c r="AE224" s="54"/>
    </row>
    <row r="225" spans="1:32" ht="26.4" x14ac:dyDescent="0.3">
      <c r="A225" s="59" t="s">
        <v>582</v>
      </c>
      <c r="B225" s="59">
        <v>5749</v>
      </c>
      <c r="C225" s="59" t="s">
        <v>879</v>
      </c>
      <c r="D225" s="59" t="s">
        <v>28</v>
      </c>
      <c r="E225" s="113" t="s">
        <v>907</v>
      </c>
      <c r="F225" s="59" t="s">
        <v>699</v>
      </c>
      <c r="G225" s="125" t="s">
        <v>881</v>
      </c>
      <c r="H225" s="110" t="s">
        <v>12</v>
      </c>
      <c r="I225" s="59" t="s">
        <v>1</v>
      </c>
      <c r="J225" s="61" t="s">
        <v>794</v>
      </c>
      <c r="K225" s="61" t="s">
        <v>178</v>
      </c>
      <c r="L225" s="62" t="s">
        <v>178</v>
      </c>
      <c r="M225" s="62" t="s">
        <v>178</v>
      </c>
      <c r="N225" s="59" t="s">
        <v>882</v>
      </c>
      <c r="O225" s="62" t="s">
        <v>178</v>
      </c>
      <c r="P225" s="111" t="s">
        <v>178</v>
      </c>
      <c r="Q225" s="111" t="s">
        <v>178</v>
      </c>
      <c r="R225" s="59" t="s">
        <v>28</v>
      </c>
      <c r="S225" s="61" t="s">
        <v>178</v>
      </c>
      <c r="T225" s="113" t="s">
        <v>178</v>
      </c>
      <c r="U225" s="140" t="s">
        <v>178</v>
      </c>
      <c r="V225" s="149" t="s">
        <v>1019</v>
      </c>
      <c r="W225" s="149" t="s">
        <v>1020</v>
      </c>
      <c r="X225" s="117" t="s">
        <v>178</v>
      </c>
      <c r="Y225" s="61"/>
      <c r="Z225" s="54" t="s">
        <v>446</v>
      </c>
      <c r="AA225" s="54"/>
      <c r="AB225" s="113">
        <v>2020</v>
      </c>
      <c r="AC225" s="113" t="s">
        <v>178</v>
      </c>
      <c r="AD225" s="118" t="s">
        <v>178</v>
      </c>
      <c r="AE225" s="54"/>
      <c r="AF225" s="144"/>
    </row>
    <row r="226" spans="1:32" ht="26.4" x14ac:dyDescent="0.3">
      <c r="A226" s="59" t="s">
        <v>582</v>
      </c>
      <c r="B226" s="59">
        <v>5750</v>
      </c>
      <c r="C226" s="59" t="s">
        <v>879</v>
      </c>
      <c r="D226" s="59" t="s">
        <v>28</v>
      </c>
      <c r="E226" s="113" t="s">
        <v>908</v>
      </c>
      <c r="F226" s="59" t="s">
        <v>880</v>
      </c>
      <c r="G226" s="59" t="s">
        <v>883</v>
      </c>
      <c r="H226" s="59" t="s">
        <v>12</v>
      </c>
      <c r="I226" s="59" t="s">
        <v>1</v>
      </c>
      <c r="J226" s="61" t="s">
        <v>794</v>
      </c>
      <c r="K226" s="61" t="s">
        <v>178</v>
      </c>
      <c r="L226" s="62" t="s">
        <v>178</v>
      </c>
      <c r="M226" s="62" t="s">
        <v>178</v>
      </c>
      <c r="N226" s="59" t="s">
        <v>882</v>
      </c>
      <c r="O226" s="62" t="s">
        <v>178</v>
      </c>
      <c r="P226" s="111" t="s">
        <v>178</v>
      </c>
      <c r="Q226" s="111" t="s">
        <v>178</v>
      </c>
      <c r="R226" s="59" t="s">
        <v>28</v>
      </c>
      <c r="S226" s="61" t="s">
        <v>178</v>
      </c>
      <c r="T226" s="113" t="s">
        <v>178</v>
      </c>
      <c r="U226" s="140" t="s">
        <v>178</v>
      </c>
      <c r="V226" s="149" t="s">
        <v>1019</v>
      </c>
      <c r="W226" s="149" t="s">
        <v>1020</v>
      </c>
      <c r="X226" s="117" t="s">
        <v>178</v>
      </c>
      <c r="Y226" s="61"/>
      <c r="Z226" s="54" t="s">
        <v>446</v>
      </c>
      <c r="AA226" s="54"/>
      <c r="AB226" s="113">
        <v>2020</v>
      </c>
      <c r="AC226" s="113" t="s">
        <v>178</v>
      </c>
      <c r="AD226" s="118" t="s">
        <v>178</v>
      </c>
      <c r="AE226" s="54"/>
      <c r="AF226" s="54"/>
    </row>
    <row r="227" spans="1:32" ht="26.4" x14ac:dyDescent="0.3">
      <c r="A227" s="59" t="s">
        <v>582</v>
      </c>
      <c r="B227" s="59">
        <v>5751</v>
      </c>
      <c r="C227" s="59" t="s">
        <v>693</v>
      </c>
      <c r="D227" s="59" t="s">
        <v>178</v>
      </c>
      <c r="E227" s="113" t="s">
        <v>835</v>
      </c>
      <c r="F227" s="59" t="s">
        <v>836</v>
      </c>
      <c r="G227" s="146" t="s">
        <v>938</v>
      </c>
      <c r="H227" s="59" t="s">
        <v>486</v>
      </c>
      <c r="I227" s="59" t="s">
        <v>2</v>
      </c>
      <c r="J227" s="117" t="s">
        <v>949</v>
      </c>
      <c r="K227" s="145" t="s">
        <v>798</v>
      </c>
      <c r="L227" s="118">
        <v>175.38132308276161</v>
      </c>
      <c r="M227" s="118" t="s">
        <v>178</v>
      </c>
      <c r="N227" s="59" t="s">
        <v>762</v>
      </c>
      <c r="O227" s="62" t="s">
        <v>399</v>
      </c>
      <c r="P227" s="111">
        <v>694400</v>
      </c>
      <c r="Q227" s="111" t="s">
        <v>178</v>
      </c>
      <c r="R227" s="146" t="s">
        <v>967</v>
      </c>
      <c r="S227" s="149" t="s">
        <v>1010</v>
      </c>
      <c r="T227" s="59" t="s">
        <v>178</v>
      </c>
      <c r="U227" s="113" t="s">
        <v>178</v>
      </c>
      <c r="V227" s="61" t="s">
        <v>1170</v>
      </c>
      <c r="W227" s="61" t="s">
        <v>1310</v>
      </c>
      <c r="X227" s="61" t="s">
        <v>178</v>
      </c>
      <c r="Y227" s="61" t="s">
        <v>837</v>
      </c>
      <c r="Z227" s="54" t="s">
        <v>443</v>
      </c>
      <c r="AA227" s="54"/>
      <c r="AB227" s="113">
        <v>2020</v>
      </c>
      <c r="AC227" s="113" t="s">
        <v>178</v>
      </c>
      <c r="AD227" s="113" t="s">
        <v>178</v>
      </c>
      <c r="AE227" s="54"/>
      <c r="AF227" s="54"/>
    </row>
    <row r="228" spans="1:32" x14ac:dyDescent="0.3">
      <c r="A228" s="59" t="s">
        <v>582</v>
      </c>
      <c r="B228" s="59">
        <v>5752</v>
      </c>
      <c r="C228" s="59" t="s">
        <v>884</v>
      </c>
      <c r="D228" s="59" t="s">
        <v>178</v>
      </c>
      <c r="E228" s="113" t="s">
        <v>903</v>
      </c>
      <c r="F228" s="59" t="s">
        <v>602</v>
      </c>
      <c r="G228" s="146" t="s">
        <v>939</v>
      </c>
      <c r="H228" s="59" t="s">
        <v>12</v>
      </c>
      <c r="I228" s="59" t="s">
        <v>118</v>
      </c>
      <c r="J228" s="61" t="s">
        <v>949</v>
      </c>
      <c r="K228" s="61" t="s">
        <v>178</v>
      </c>
      <c r="L228" s="118">
        <v>61.481276597421136</v>
      </c>
      <c r="M228" s="118">
        <v>14.255604822827236</v>
      </c>
      <c r="N228" s="59" t="s">
        <v>762</v>
      </c>
      <c r="O228" s="118">
        <v>5422.8</v>
      </c>
      <c r="P228" s="111" t="s">
        <v>114</v>
      </c>
      <c r="Q228" s="111" t="s">
        <v>114</v>
      </c>
      <c r="R228" s="59" t="s">
        <v>884</v>
      </c>
      <c r="S228" s="61" t="s">
        <v>114</v>
      </c>
      <c r="T228" s="59" t="s">
        <v>178</v>
      </c>
      <c r="U228" s="59" t="s">
        <v>178</v>
      </c>
      <c r="V228" s="61" t="s">
        <v>114</v>
      </c>
      <c r="W228" s="61" t="s">
        <v>114</v>
      </c>
      <c r="X228" s="61" t="s">
        <v>178</v>
      </c>
      <c r="Y228" s="61" t="s">
        <v>837</v>
      </c>
      <c r="Z228" s="54" t="s">
        <v>446</v>
      </c>
      <c r="AA228" s="54"/>
      <c r="AB228" s="113">
        <v>2020</v>
      </c>
      <c r="AC228" s="113" t="s">
        <v>178</v>
      </c>
      <c r="AD228" s="113" t="s">
        <v>178</v>
      </c>
      <c r="AE228" s="54"/>
      <c r="AF228" s="54"/>
    </row>
    <row r="229" spans="1:32" ht="39.6" x14ac:dyDescent="0.3">
      <c r="A229" s="59" t="s">
        <v>582</v>
      </c>
      <c r="B229" s="59">
        <v>5753</v>
      </c>
      <c r="C229" s="59" t="s">
        <v>101</v>
      </c>
      <c r="D229" s="59" t="s">
        <v>28</v>
      </c>
      <c r="E229" s="113" t="s">
        <v>1021</v>
      </c>
      <c r="F229" s="59" t="s">
        <v>510</v>
      </c>
      <c r="G229" s="147" t="s">
        <v>935</v>
      </c>
      <c r="H229" s="59" t="s">
        <v>431</v>
      </c>
      <c r="I229" s="59" t="s">
        <v>118</v>
      </c>
      <c r="J229" s="61" t="s">
        <v>950</v>
      </c>
      <c r="K229" s="145" t="s">
        <v>861</v>
      </c>
      <c r="L229" s="141" t="s">
        <v>114</v>
      </c>
      <c r="M229" s="141" t="s">
        <v>114</v>
      </c>
      <c r="N229" s="59" t="s">
        <v>763</v>
      </c>
      <c r="O229" s="62">
        <v>17076</v>
      </c>
      <c r="P229" s="119">
        <v>12000000</v>
      </c>
      <c r="Q229" s="113" t="s">
        <v>399</v>
      </c>
      <c r="R229" s="59" t="s">
        <v>114</v>
      </c>
      <c r="S229" s="117" t="s">
        <v>399</v>
      </c>
      <c r="T229" s="119" t="s">
        <v>114</v>
      </c>
      <c r="U229" s="113" t="s">
        <v>399</v>
      </c>
      <c r="V229" s="61" t="s">
        <v>1171</v>
      </c>
      <c r="W229" s="61" t="s">
        <v>1311</v>
      </c>
      <c r="X229" s="117" t="s">
        <v>178</v>
      </c>
      <c r="Y229" s="61" t="s">
        <v>114</v>
      </c>
      <c r="Z229" s="54" t="s">
        <v>443</v>
      </c>
      <c r="AA229" s="54"/>
      <c r="AB229" s="113">
        <v>2020</v>
      </c>
      <c r="AC229" s="140" t="s">
        <v>178</v>
      </c>
      <c r="AD229" s="140" t="s">
        <v>178</v>
      </c>
      <c r="AE229" s="54"/>
      <c r="AF229" s="54"/>
    </row>
    <row r="230" spans="1:32" ht="39.6" x14ac:dyDescent="0.3">
      <c r="A230" s="59" t="s">
        <v>582</v>
      </c>
      <c r="B230" s="59">
        <v>5754</v>
      </c>
      <c r="C230" s="59" t="s">
        <v>101</v>
      </c>
      <c r="D230" s="113" t="s">
        <v>399</v>
      </c>
      <c r="E230" s="113" t="s">
        <v>1022</v>
      </c>
      <c r="F230" s="59" t="s">
        <v>862</v>
      </c>
      <c r="G230" s="59" t="s">
        <v>84</v>
      </c>
      <c r="H230" s="59" t="s">
        <v>106</v>
      </c>
      <c r="I230" s="59" t="s">
        <v>322</v>
      </c>
      <c r="J230" s="61" t="s">
        <v>950</v>
      </c>
      <c r="K230" s="61" t="s">
        <v>950</v>
      </c>
      <c r="L230" s="141" t="s">
        <v>114</v>
      </c>
      <c r="M230" s="141" t="s">
        <v>114</v>
      </c>
      <c r="N230" s="59" t="s">
        <v>763</v>
      </c>
      <c r="O230" s="62">
        <v>1031</v>
      </c>
      <c r="P230" s="119">
        <v>75000</v>
      </c>
      <c r="Q230" s="113" t="s">
        <v>399</v>
      </c>
      <c r="R230" s="59" t="s">
        <v>503</v>
      </c>
      <c r="S230" s="61" t="s">
        <v>979</v>
      </c>
      <c r="T230" s="113" t="s">
        <v>178</v>
      </c>
      <c r="U230" s="113" t="s">
        <v>399</v>
      </c>
      <c r="V230" s="61" t="s">
        <v>1171</v>
      </c>
      <c r="W230" s="61" t="s">
        <v>1311</v>
      </c>
      <c r="X230" s="117" t="s">
        <v>178</v>
      </c>
      <c r="Y230" s="61" t="s">
        <v>114</v>
      </c>
      <c r="Z230" s="54" t="s">
        <v>443</v>
      </c>
      <c r="AA230" s="54"/>
      <c r="AB230" s="113">
        <v>2020</v>
      </c>
      <c r="AC230" s="140" t="s">
        <v>178</v>
      </c>
      <c r="AD230" s="140" t="s">
        <v>178</v>
      </c>
      <c r="AE230" s="54"/>
      <c r="AF230" s="54"/>
    </row>
    <row r="231" spans="1:32" ht="39.6" x14ac:dyDescent="0.3">
      <c r="A231" s="59" t="s">
        <v>582</v>
      </c>
      <c r="B231" s="59">
        <v>5755</v>
      </c>
      <c r="C231" s="59" t="s">
        <v>101</v>
      </c>
      <c r="D231" s="113" t="s">
        <v>399</v>
      </c>
      <c r="E231" s="113" t="s">
        <v>1023</v>
      </c>
      <c r="F231" s="59" t="s">
        <v>863</v>
      </c>
      <c r="G231" s="59" t="s">
        <v>84</v>
      </c>
      <c r="H231" s="59" t="s">
        <v>106</v>
      </c>
      <c r="I231" s="59" t="s">
        <v>322</v>
      </c>
      <c r="J231" s="61" t="s">
        <v>950</v>
      </c>
      <c r="K231" s="61" t="s">
        <v>950</v>
      </c>
      <c r="L231" s="141" t="s">
        <v>114</v>
      </c>
      <c r="M231" s="141" t="s">
        <v>114</v>
      </c>
      <c r="N231" s="59" t="s">
        <v>763</v>
      </c>
      <c r="O231" s="62">
        <v>1135</v>
      </c>
      <c r="P231" s="119">
        <v>400000</v>
      </c>
      <c r="Q231" s="113" t="s">
        <v>399</v>
      </c>
      <c r="R231" s="59" t="s">
        <v>503</v>
      </c>
      <c r="S231" s="61" t="s">
        <v>1011</v>
      </c>
      <c r="T231" s="113" t="s">
        <v>178</v>
      </c>
      <c r="U231" s="140" t="s">
        <v>178</v>
      </c>
      <c r="V231" s="61" t="s">
        <v>1172</v>
      </c>
      <c r="W231" s="61" t="s">
        <v>1312</v>
      </c>
      <c r="X231" s="117" t="s">
        <v>178</v>
      </c>
      <c r="Y231" s="61" t="s">
        <v>114</v>
      </c>
      <c r="Z231" s="54" t="s">
        <v>443</v>
      </c>
      <c r="AA231" s="54"/>
      <c r="AB231" s="113">
        <v>2020</v>
      </c>
      <c r="AC231" s="140" t="s">
        <v>178</v>
      </c>
      <c r="AD231" s="140" t="s">
        <v>178</v>
      </c>
      <c r="AE231" s="54"/>
      <c r="AF231" s="54"/>
    </row>
    <row r="232" spans="1:32" ht="39.6" x14ac:dyDescent="0.3">
      <c r="A232" s="59" t="s">
        <v>582</v>
      </c>
      <c r="B232" s="59">
        <v>5756</v>
      </c>
      <c r="C232" s="59" t="s">
        <v>101</v>
      </c>
      <c r="D232" s="113" t="s">
        <v>399</v>
      </c>
      <c r="E232" s="113" t="s">
        <v>1024</v>
      </c>
      <c r="F232" s="59" t="s">
        <v>864</v>
      </c>
      <c r="G232" s="59" t="s">
        <v>84</v>
      </c>
      <c r="H232" s="59" t="s">
        <v>106</v>
      </c>
      <c r="I232" s="59" t="s">
        <v>2</v>
      </c>
      <c r="J232" s="61" t="s">
        <v>798</v>
      </c>
      <c r="K232" s="61" t="s">
        <v>798</v>
      </c>
      <c r="L232" s="142" t="s">
        <v>114</v>
      </c>
      <c r="M232" s="142" t="s">
        <v>114</v>
      </c>
      <c r="N232" s="59" t="s">
        <v>103</v>
      </c>
      <c r="O232" s="62">
        <v>1193</v>
      </c>
      <c r="P232" s="119">
        <v>136681</v>
      </c>
      <c r="Q232" s="143" t="s">
        <v>399</v>
      </c>
      <c r="R232" s="59" t="s">
        <v>503</v>
      </c>
      <c r="S232" s="61" t="s">
        <v>1012</v>
      </c>
      <c r="T232" s="140" t="s">
        <v>178</v>
      </c>
      <c r="U232" s="140" t="s">
        <v>178</v>
      </c>
      <c r="V232" s="61" t="s">
        <v>1173</v>
      </c>
      <c r="W232" s="61" t="s">
        <v>1313</v>
      </c>
      <c r="X232" s="117" t="s">
        <v>178</v>
      </c>
      <c r="Y232" s="61" t="s">
        <v>114</v>
      </c>
      <c r="Z232" s="54" t="s">
        <v>443</v>
      </c>
      <c r="AA232" s="54"/>
      <c r="AB232" s="113">
        <v>2020</v>
      </c>
      <c r="AC232" s="140" t="s">
        <v>178</v>
      </c>
      <c r="AD232" s="140" t="s">
        <v>178</v>
      </c>
      <c r="AE232" s="54"/>
      <c r="AF232" s="54"/>
    </row>
    <row r="241" spans="3:9" ht="14.4" x14ac:dyDescent="0.3">
      <c r="C241" s="131"/>
      <c r="D241" s="131"/>
      <c r="E241" s="131"/>
      <c r="G241" s="131"/>
      <c r="H241" s="131"/>
      <c r="I241" s="131"/>
    </row>
    <row r="242" spans="3:9" ht="14.4" x14ac:dyDescent="0.3">
      <c r="C242" s="131"/>
      <c r="D242" s="131"/>
      <c r="E242" s="131"/>
      <c r="G242" s="131"/>
      <c r="H242" s="131"/>
      <c r="I242" s="131"/>
    </row>
    <row r="243" spans="3:9" ht="14.4" x14ac:dyDescent="0.3">
      <c r="C243" s="131"/>
      <c r="D243" s="131"/>
      <c r="E243" s="131"/>
      <c r="G243" s="131"/>
      <c r="H243" s="131"/>
      <c r="I243" s="131"/>
    </row>
    <row r="244" spans="3:9" ht="14.4" x14ac:dyDescent="0.3">
      <c r="C244" s="131"/>
      <c r="D244" s="131"/>
      <c r="E244" s="131"/>
      <c r="G244" s="131"/>
      <c r="H244" s="131"/>
      <c r="I244" s="131"/>
    </row>
    <row r="245" spans="3:9" ht="14.4" x14ac:dyDescent="0.3">
      <c r="C245" s="131"/>
      <c r="D245" s="131"/>
      <c r="E245" s="131"/>
      <c r="G245" s="131"/>
      <c r="H245" s="131"/>
      <c r="I245" s="131"/>
    </row>
    <row r="246" spans="3:9" ht="14.4" x14ac:dyDescent="0.3">
      <c r="C246" s="131"/>
      <c r="D246" s="131"/>
      <c r="E246" s="131"/>
      <c r="G246" s="131"/>
      <c r="H246" s="131"/>
      <c r="I246" s="131"/>
    </row>
    <row r="247" spans="3:9" ht="14.4" x14ac:dyDescent="0.3">
      <c r="C247" s="131"/>
      <c r="D247" s="131"/>
      <c r="E247" s="131"/>
      <c r="G247" s="131"/>
      <c r="H247" s="131"/>
      <c r="I247" s="131"/>
    </row>
    <row r="248" spans="3:9" ht="14.4" x14ac:dyDescent="0.3">
      <c r="C248" s="131"/>
      <c r="D248" s="131"/>
      <c r="E248" s="131"/>
      <c r="G248" s="131"/>
      <c r="H248" s="131"/>
      <c r="I248" s="131"/>
    </row>
    <row r="249" spans="3:9" ht="14.4" x14ac:dyDescent="0.3">
      <c r="C249" s="131"/>
      <c r="D249" s="131"/>
      <c r="E249" s="131"/>
      <c r="G249" s="131"/>
      <c r="H249" s="131"/>
      <c r="I249" s="131"/>
    </row>
    <row r="250" spans="3:9" ht="14.4" x14ac:dyDescent="0.3">
      <c r="C250" s="131"/>
      <c r="D250" s="131"/>
      <c r="E250" s="131"/>
      <c r="G250" s="131"/>
      <c r="H250" s="131"/>
      <c r="I250" s="131"/>
    </row>
    <row r="251" spans="3:9" ht="14.4" x14ac:dyDescent="0.3">
      <c r="C251" s="131"/>
      <c r="D251" s="131"/>
      <c r="E251" s="131"/>
      <c r="G251" s="131"/>
      <c r="H251" s="131"/>
      <c r="I251" s="131"/>
    </row>
    <row r="252" spans="3:9" ht="14.4" x14ac:dyDescent="0.3">
      <c r="C252" s="131"/>
      <c r="D252" s="131"/>
      <c r="E252" s="131"/>
      <c r="G252" s="131"/>
      <c r="H252" s="131"/>
      <c r="I252" s="131"/>
    </row>
    <row r="253" spans="3:9" ht="14.4" x14ac:dyDescent="0.3">
      <c r="C253" s="131"/>
      <c r="D253" s="131"/>
      <c r="E253" s="131"/>
      <c r="G253" s="131"/>
      <c r="H253" s="131"/>
      <c r="I253" s="131"/>
    </row>
    <row r="254" spans="3:9" ht="14.4" x14ac:dyDescent="0.3">
      <c r="C254" s="131"/>
      <c r="D254" s="131"/>
      <c r="E254" s="131"/>
      <c r="G254" s="131"/>
      <c r="H254" s="131"/>
      <c r="I254" s="131"/>
    </row>
    <row r="255" spans="3:9" ht="14.4" x14ac:dyDescent="0.3">
      <c r="C255" s="131"/>
      <c r="D255" s="131"/>
      <c r="E255" s="131"/>
    </row>
    <row r="256" spans="3:9" ht="14.4" x14ac:dyDescent="0.3">
      <c r="C256" s="131"/>
      <c r="D256" s="131"/>
      <c r="E256" s="131"/>
    </row>
  </sheetData>
  <autoFilter ref="A1:AF232" xr:uid="{6F0B886F-DFF3-467F-A7E9-1001DFE16CF8}"/>
  <sortState xmlns:xlrd2="http://schemas.microsoft.com/office/spreadsheetml/2017/richdata2" ref="C2:AE142">
    <sortCondition ref="D2:D142"/>
    <sortCondition ref="F2:F142"/>
  </sortState>
  <phoneticPr fontId="13" type="noConversion"/>
  <pageMargins left="0.7" right="0.7" top="0.75" bottom="0.75" header="0.3" footer="0.3"/>
  <pageSetup orientation="portrait" r:id="rId1"/>
  <customProperties>
    <customPr name="LastActive" r:id="rId2"/>
  </customProperties>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'Z:\FileServer Data\FDEP LSJR Main Stem BMAP\11 2018 Progress Report Items\Received\CCUA\[LSJM_CCUA Aggregate Revised.xlsx]Drop Downs'!#REF!</xm:f>
          </x14:formula1>
          <xm:sqref>H1:I1</xm:sqref>
        </x14:dataValidation>
        <x14:dataValidation type="list" allowBlank="1" showInputMessage="1" showErrorMessage="1" xr:uid="{90C009F5-CDAD-4127-96B8-7C72F76CA721}">
          <x14:formula1>
            <xm:f>'C:\Users\Rossiter_B\Desktop\STAR\2020 STAR\CALO\Responses\City of Moore Haven\[Moore Haven CALO Report For 2020_BR.xlsx]DropDown'!#REF!</xm:f>
          </x14:formula1>
          <xm:sqref>H53</xm:sqref>
        </x14:dataValidation>
        <x14:dataValidation type="list" allowBlank="1" showInputMessage="1" showErrorMessage="1" xr:uid="{F5B4DCA0-0895-4856-89DD-1A339326CAEC}">
          <x14:formula1>
            <xm:f>'[2021_1-15_MASTER_SFWMD and Coord Agency_Multi BMAP.xlsx]DropDowns'!#REF!</xm:f>
          </x14:formula1>
          <xm:sqref>H69 I66 Y64:Y70</xm:sqref>
        </x14:dataValidation>
      </x14:dataValidations>
    </ext>
    <ext xmlns:x15="http://schemas.microsoft.com/office/spreadsheetml/2010/11/main" uri="{F7C9EE02-42E1-4005-9D12-6889AFFD525C}">
      <x15:webExtensions xmlns:xm="http://schemas.microsoft.com/office/excel/2006/main">
        <x15:webExtension appRef="{57D8F50E-4D35-430A-B57B-1AB1D6DA8370}">
          <xm:f>'Caloosahatchee All Projects'!$B$1:$AD$225</xm:f>
        </x15:webExtension>
      </x15:webExtens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29180-2139-4A64-B7DE-548A1F67472C}">
  <dimension ref="A1:Y209"/>
  <sheetViews>
    <sheetView workbookViewId="0"/>
  </sheetViews>
  <sheetFormatPr defaultRowHeight="14.4" x14ac:dyDescent="0.3"/>
  <cols>
    <col min="2" max="2" width="9.33203125" style="39" bestFit="1" customWidth="1"/>
    <col min="12" max="13" width="10" bestFit="1" customWidth="1"/>
    <col min="15" max="16" width="10" bestFit="1" customWidth="1"/>
    <col min="17" max="17" width="9.33203125" bestFit="1" customWidth="1"/>
    <col min="21" max="21" width="9.5546875" bestFit="1" customWidth="1"/>
    <col min="22" max="22" width="10" bestFit="1" customWidth="1"/>
    <col min="23" max="23" width="10.5546875" bestFit="1" customWidth="1"/>
  </cols>
  <sheetData>
    <row r="1" spans="1:25" ht="57.6" x14ac:dyDescent="0.3">
      <c r="A1" s="105" t="s">
        <v>583</v>
      </c>
      <c r="B1" s="173" t="s">
        <v>752</v>
      </c>
      <c r="C1" s="105" t="s">
        <v>406</v>
      </c>
      <c r="D1" s="105" t="s">
        <v>74</v>
      </c>
      <c r="E1" s="105" t="s">
        <v>407</v>
      </c>
      <c r="F1" s="105" t="s">
        <v>408</v>
      </c>
      <c r="G1" s="105" t="s">
        <v>409</v>
      </c>
      <c r="H1" s="105" t="s">
        <v>410</v>
      </c>
      <c r="I1" s="105" t="s">
        <v>411</v>
      </c>
      <c r="J1" s="105" t="s">
        <v>948</v>
      </c>
      <c r="K1" s="105" t="s">
        <v>412</v>
      </c>
      <c r="L1" s="105" t="s">
        <v>413</v>
      </c>
      <c r="M1" s="105" t="s">
        <v>414</v>
      </c>
      <c r="N1" s="105" t="s">
        <v>72</v>
      </c>
      <c r="O1" s="105" t="s">
        <v>415</v>
      </c>
      <c r="P1" s="105" t="s">
        <v>416</v>
      </c>
      <c r="Q1" s="105" t="s">
        <v>417</v>
      </c>
      <c r="R1" s="105" t="s">
        <v>418</v>
      </c>
      <c r="S1" s="105" t="s">
        <v>419</v>
      </c>
      <c r="T1" s="105" t="s">
        <v>420</v>
      </c>
      <c r="U1" s="160" t="s">
        <v>799</v>
      </c>
      <c r="V1" s="105" t="s">
        <v>71</v>
      </c>
      <c r="W1" s="105" t="s">
        <v>73</v>
      </c>
      <c r="X1" s="105" t="s">
        <v>800</v>
      </c>
      <c r="Y1" s="105" t="s">
        <v>801</v>
      </c>
    </row>
    <row r="2" spans="1:25" ht="105.6" x14ac:dyDescent="0.3">
      <c r="A2" s="90" t="s">
        <v>582</v>
      </c>
      <c r="B2" s="174">
        <v>5160</v>
      </c>
      <c r="C2" s="90" t="s">
        <v>600</v>
      </c>
      <c r="D2" s="90" t="s">
        <v>722</v>
      </c>
      <c r="E2" s="90" t="s">
        <v>601</v>
      </c>
      <c r="F2" s="90" t="s">
        <v>602</v>
      </c>
      <c r="G2" s="90" t="s">
        <v>603</v>
      </c>
      <c r="H2" s="90" t="s">
        <v>12</v>
      </c>
      <c r="I2" s="90" t="s">
        <v>118</v>
      </c>
      <c r="J2" s="61" t="s">
        <v>949</v>
      </c>
      <c r="K2" s="90" t="s">
        <v>178</v>
      </c>
      <c r="L2" s="90" t="s">
        <v>178</v>
      </c>
      <c r="M2" s="90" t="s">
        <v>178</v>
      </c>
      <c r="N2" s="90" t="s">
        <v>762</v>
      </c>
      <c r="O2" s="90" t="s">
        <v>178</v>
      </c>
      <c r="P2" s="161" t="s">
        <v>399</v>
      </c>
      <c r="Q2" s="61" t="s">
        <v>114</v>
      </c>
      <c r="R2" s="90" t="s">
        <v>600</v>
      </c>
      <c r="S2" s="61" t="s">
        <v>178</v>
      </c>
      <c r="T2" s="90" t="s">
        <v>178</v>
      </c>
      <c r="U2" s="117" t="s">
        <v>178</v>
      </c>
      <c r="V2" s="61">
        <v>26.75713889</v>
      </c>
      <c r="W2" s="61">
        <v>-81.386111110000002</v>
      </c>
      <c r="X2" s="90" t="s">
        <v>178</v>
      </c>
      <c r="Y2" s="90"/>
    </row>
    <row r="3" spans="1:25" ht="132" x14ac:dyDescent="0.3">
      <c r="A3" s="90" t="s">
        <v>582</v>
      </c>
      <c r="B3" s="174">
        <v>5161</v>
      </c>
      <c r="C3" s="90" t="s">
        <v>600</v>
      </c>
      <c r="D3" s="90" t="s">
        <v>96</v>
      </c>
      <c r="E3" s="90" t="s">
        <v>604</v>
      </c>
      <c r="F3" s="90" t="s">
        <v>605</v>
      </c>
      <c r="G3" s="90" t="s">
        <v>606</v>
      </c>
      <c r="H3" s="90" t="s">
        <v>444</v>
      </c>
      <c r="I3" s="90" t="s">
        <v>118</v>
      </c>
      <c r="J3" s="61" t="s">
        <v>949</v>
      </c>
      <c r="K3" s="90" t="s">
        <v>178</v>
      </c>
      <c r="L3" s="90" t="s">
        <v>178</v>
      </c>
      <c r="M3" s="90" t="s">
        <v>178</v>
      </c>
      <c r="N3" s="90" t="s">
        <v>762</v>
      </c>
      <c r="O3" s="90" t="s">
        <v>178</v>
      </c>
      <c r="P3" s="161" t="s">
        <v>399</v>
      </c>
      <c r="Q3" s="61" t="s">
        <v>114</v>
      </c>
      <c r="R3" s="90" t="s">
        <v>600</v>
      </c>
      <c r="S3" s="61" t="s">
        <v>178</v>
      </c>
      <c r="T3" s="90" t="s">
        <v>178</v>
      </c>
      <c r="U3" s="117" t="s">
        <v>178</v>
      </c>
      <c r="V3" s="61">
        <v>26.7515</v>
      </c>
      <c r="W3" s="61">
        <v>-81.275000000000006</v>
      </c>
      <c r="X3" s="90" t="s">
        <v>178</v>
      </c>
      <c r="Y3" s="90"/>
    </row>
    <row r="4" spans="1:25" ht="105.6" x14ac:dyDescent="0.3">
      <c r="A4" s="90" t="s">
        <v>582</v>
      </c>
      <c r="B4" s="174">
        <v>5162</v>
      </c>
      <c r="C4" s="90" t="s">
        <v>600</v>
      </c>
      <c r="D4" s="90" t="s">
        <v>178</v>
      </c>
      <c r="E4" s="90" t="s">
        <v>607</v>
      </c>
      <c r="F4" s="90" t="s">
        <v>608</v>
      </c>
      <c r="G4" s="149" t="s">
        <v>926</v>
      </c>
      <c r="H4" s="90" t="s">
        <v>107</v>
      </c>
      <c r="I4" s="61" t="s">
        <v>2</v>
      </c>
      <c r="J4" s="61" t="s">
        <v>798</v>
      </c>
      <c r="K4" s="61" t="s">
        <v>798</v>
      </c>
      <c r="L4" s="90" t="s">
        <v>178</v>
      </c>
      <c r="M4" s="90" t="s">
        <v>178</v>
      </c>
      <c r="N4" s="90" t="s">
        <v>762</v>
      </c>
      <c r="O4" s="90" t="s">
        <v>178</v>
      </c>
      <c r="P4" s="61" t="s">
        <v>114</v>
      </c>
      <c r="Q4" s="61" t="s">
        <v>114</v>
      </c>
      <c r="R4" s="90" t="s">
        <v>600</v>
      </c>
      <c r="S4" s="61" t="s">
        <v>178</v>
      </c>
      <c r="T4" s="90" t="s">
        <v>178</v>
      </c>
      <c r="U4" s="117" t="s">
        <v>178</v>
      </c>
      <c r="V4" s="61">
        <v>26.7515</v>
      </c>
      <c r="W4" s="61">
        <v>-81.275000000000006</v>
      </c>
      <c r="X4" s="90" t="s">
        <v>178</v>
      </c>
      <c r="Y4" s="90"/>
    </row>
    <row r="5" spans="1:25" ht="171.6" x14ac:dyDescent="0.3">
      <c r="A5" s="90" t="s">
        <v>582</v>
      </c>
      <c r="B5" s="174">
        <v>5163</v>
      </c>
      <c r="C5" s="90" t="s">
        <v>600</v>
      </c>
      <c r="D5" s="90" t="s">
        <v>178</v>
      </c>
      <c r="E5" s="90" t="s">
        <v>609</v>
      </c>
      <c r="F5" s="90" t="s">
        <v>610</v>
      </c>
      <c r="G5" s="90" t="s">
        <v>611</v>
      </c>
      <c r="H5" s="90" t="s">
        <v>492</v>
      </c>
      <c r="I5" s="90" t="s">
        <v>118</v>
      </c>
      <c r="J5" s="61" t="s">
        <v>798</v>
      </c>
      <c r="K5" s="61" t="s">
        <v>178</v>
      </c>
      <c r="L5" s="90" t="s">
        <v>178</v>
      </c>
      <c r="M5" s="90" t="s">
        <v>178</v>
      </c>
      <c r="N5" s="90" t="s">
        <v>762</v>
      </c>
      <c r="O5" s="90" t="s">
        <v>178</v>
      </c>
      <c r="P5" s="61" t="s">
        <v>114</v>
      </c>
      <c r="Q5" s="61" t="s">
        <v>114</v>
      </c>
      <c r="R5" s="90" t="s">
        <v>600</v>
      </c>
      <c r="S5" s="61" t="s">
        <v>178</v>
      </c>
      <c r="T5" s="90" t="s">
        <v>178</v>
      </c>
      <c r="U5" s="117" t="s">
        <v>178</v>
      </c>
      <c r="V5" s="61">
        <v>26.7515</v>
      </c>
      <c r="W5" s="61">
        <v>-81.275000000000006</v>
      </c>
      <c r="X5" s="90" t="s">
        <v>178</v>
      </c>
      <c r="Y5" s="90"/>
    </row>
    <row r="6" spans="1:25" ht="92.4" x14ac:dyDescent="0.3">
      <c r="A6" s="90" t="s">
        <v>582</v>
      </c>
      <c r="B6" s="174">
        <v>5164</v>
      </c>
      <c r="C6" s="90" t="s">
        <v>600</v>
      </c>
      <c r="D6" s="90" t="s">
        <v>178</v>
      </c>
      <c r="E6" s="90" t="s">
        <v>612</v>
      </c>
      <c r="F6" s="90" t="s">
        <v>613</v>
      </c>
      <c r="G6" s="90" t="s">
        <v>614</v>
      </c>
      <c r="H6" s="90" t="s">
        <v>106</v>
      </c>
      <c r="I6" s="90" t="s">
        <v>1</v>
      </c>
      <c r="J6" s="61" t="s">
        <v>950</v>
      </c>
      <c r="K6" s="61" t="s">
        <v>178</v>
      </c>
      <c r="L6" s="90" t="s">
        <v>178</v>
      </c>
      <c r="M6" s="90" t="s">
        <v>178</v>
      </c>
      <c r="N6" s="90" t="s">
        <v>762</v>
      </c>
      <c r="O6" s="90" t="s">
        <v>178</v>
      </c>
      <c r="P6" s="61" t="s">
        <v>114</v>
      </c>
      <c r="Q6" s="61" t="s">
        <v>114</v>
      </c>
      <c r="R6" s="90" t="s">
        <v>600</v>
      </c>
      <c r="S6" s="61" t="s">
        <v>178</v>
      </c>
      <c r="T6" s="90" t="s">
        <v>178</v>
      </c>
      <c r="U6" s="117" t="s">
        <v>178</v>
      </c>
      <c r="V6" s="61">
        <v>26.7515</v>
      </c>
      <c r="W6" s="61">
        <v>-81.275000000000006</v>
      </c>
      <c r="X6" s="90" t="s">
        <v>178</v>
      </c>
      <c r="Y6" s="90"/>
    </row>
    <row r="7" spans="1:25" ht="409.2" x14ac:dyDescent="0.3">
      <c r="A7" s="90" t="s">
        <v>582</v>
      </c>
      <c r="B7" s="174">
        <v>5165</v>
      </c>
      <c r="C7" s="90" t="s">
        <v>591</v>
      </c>
      <c r="D7" s="117" t="s">
        <v>178</v>
      </c>
      <c r="E7" s="90" t="s">
        <v>592</v>
      </c>
      <c r="F7" s="90" t="s">
        <v>615</v>
      </c>
      <c r="G7" s="90" t="s">
        <v>724</v>
      </c>
      <c r="H7" s="90" t="s">
        <v>116</v>
      </c>
      <c r="I7" s="90" t="s">
        <v>322</v>
      </c>
      <c r="J7" s="61" t="s">
        <v>951</v>
      </c>
      <c r="K7" s="90" t="s">
        <v>953</v>
      </c>
      <c r="L7" s="90" t="s">
        <v>178</v>
      </c>
      <c r="M7" s="90" t="s">
        <v>178</v>
      </c>
      <c r="N7" s="90" t="s">
        <v>763</v>
      </c>
      <c r="O7" s="90">
        <v>10700</v>
      </c>
      <c r="P7" s="90">
        <v>853335773</v>
      </c>
      <c r="Q7" s="90">
        <v>2200000</v>
      </c>
      <c r="R7" s="149" t="s">
        <v>966</v>
      </c>
      <c r="S7" s="90" t="s">
        <v>969</v>
      </c>
      <c r="T7" s="90" t="s">
        <v>178</v>
      </c>
      <c r="U7" s="61" t="s">
        <v>178</v>
      </c>
      <c r="V7" s="90">
        <v>26.78637063</v>
      </c>
      <c r="W7" s="90">
        <v>-81.288741049999999</v>
      </c>
      <c r="X7" s="90" t="s">
        <v>178</v>
      </c>
      <c r="Y7" s="61" t="s">
        <v>839</v>
      </c>
    </row>
    <row r="8" spans="1:25" ht="409.6" x14ac:dyDescent="0.3">
      <c r="A8" s="90" t="s">
        <v>582</v>
      </c>
      <c r="B8" s="174">
        <v>5166</v>
      </c>
      <c r="C8" s="90" t="s">
        <v>591</v>
      </c>
      <c r="D8" s="117" t="s">
        <v>178</v>
      </c>
      <c r="E8" s="90" t="s">
        <v>593</v>
      </c>
      <c r="F8" s="90" t="s">
        <v>616</v>
      </c>
      <c r="G8" s="90" t="s">
        <v>617</v>
      </c>
      <c r="H8" s="90" t="s">
        <v>116</v>
      </c>
      <c r="I8" s="90" t="s">
        <v>2</v>
      </c>
      <c r="J8" s="61" t="s">
        <v>794</v>
      </c>
      <c r="K8" s="90" t="s">
        <v>949</v>
      </c>
      <c r="L8" s="90" t="s">
        <v>178</v>
      </c>
      <c r="M8" s="90" t="s">
        <v>178</v>
      </c>
      <c r="N8" s="90" t="s">
        <v>762</v>
      </c>
      <c r="O8" s="90">
        <v>670</v>
      </c>
      <c r="P8" s="90">
        <v>17300590</v>
      </c>
      <c r="Q8" s="90">
        <v>114588</v>
      </c>
      <c r="R8" s="90" t="s">
        <v>744</v>
      </c>
      <c r="S8" s="90" t="s">
        <v>970</v>
      </c>
      <c r="T8" s="90" t="s">
        <v>178</v>
      </c>
      <c r="U8" s="61" t="s">
        <v>178</v>
      </c>
      <c r="V8" s="90">
        <v>26.81848578</v>
      </c>
      <c r="W8" s="90">
        <v>-81.145942020000007</v>
      </c>
      <c r="X8" s="90" t="s">
        <v>178</v>
      </c>
      <c r="Y8" s="61" t="s">
        <v>839</v>
      </c>
    </row>
    <row r="9" spans="1:25" ht="290.39999999999998" x14ac:dyDescent="0.3">
      <c r="A9" s="90" t="s">
        <v>582</v>
      </c>
      <c r="B9" s="174">
        <v>5167</v>
      </c>
      <c r="C9" s="90" t="s">
        <v>591</v>
      </c>
      <c r="D9" s="117" t="s">
        <v>178</v>
      </c>
      <c r="E9" s="90" t="s">
        <v>594</v>
      </c>
      <c r="F9" s="90" t="s">
        <v>719</v>
      </c>
      <c r="G9" s="90" t="s">
        <v>618</v>
      </c>
      <c r="H9" s="90" t="s">
        <v>116</v>
      </c>
      <c r="I9" s="61" t="s">
        <v>118</v>
      </c>
      <c r="J9" s="61" t="s">
        <v>952</v>
      </c>
      <c r="K9" s="90" t="s">
        <v>755</v>
      </c>
      <c r="L9" s="117" t="s">
        <v>178</v>
      </c>
      <c r="M9" s="117">
        <v>3810.8294399999995</v>
      </c>
      <c r="N9" s="90" t="s">
        <v>762</v>
      </c>
      <c r="O9" s="90">
        <v>2648</v>
      </c>
      <c r="P9" s="90">
        <v>95231364</v>
      </c>
      <c r="Q9" s="90" t="s">
        <v>114</v>
      </c>
      <c r="R9" s="90" t="s">
        <v>744</v>
      </c>
      <c r="S9" s="90" t="s">
        <v>971</v>
      </c>
      <c r="T9" s="90" t="s">
        <v>178</v>
      </c>
      <c r="U9" s="61" t="s">
        <v>178</v>
      </c>
      <c r="V9" s="90">
        <v>26.817145289999999</v>
      </c>
      <c r="W9" s="90">
        <v>-81.148903180000005</v>
      </c>
      <c r="X9" s="90" t="s">
        <v>178</v>
      </c>
      <c r="Y9" s="61" t="s">
        <v>839</v>
      </c>
    </row>
    <row r="10" spans="1:25" ht="237.6" x14ac:dyDescent="0.3">
      <c r="A10" s="90" t="s">
        <v>582</v>
      </c>
      <c r="B10" s="174">
        <v>5168</v>
      </c>
      <c r="C10" s="90" t="s">
        <v>591</v>
      </c>
      <c r="D10" s="117" t="s">
        <v>178</v>
      </c>
      <c r="E10" s="90" t="s">
        <v>595</v>
      </c>
      <c r="F10" s="90" t="s">
        <v>619</v>
      </c>
      <c r="G10" s="90" t="s">
        <v>620</v>
      </c>
      <c r="H10" s="90" t="s">
        <v>116</v>
      </c>
      <c r="I10" s="90" t="s">
        <v>118</v>
      </c>
      <c r="J10" s="61" t="s">
        <v>953</v>
      </c>
      <c r="K10" s="61" t="s">
        <v>755</v>
      </c>
      <c r="L10" s="90" t="s">
        <v>178</v>
      </c>
      <c r="M10" s="90" t="s">
        <v>178</v>
      </c>
      <c r="N10" s="149" t="s">
        <v>762</v>
      </c>
      <c r="O10" s="90">
        <v>1797</v>
      </c>
      <c r="P10" s="90" t="s">
        <v>114</v>
      </c>
      <c r="Q10" s="90" t="s">
        <v>114</v>
      </c>
      <c r="R10" s="90" t="s">
        <v>744</v>
      </c>
      <c r="S10" s="90" t="s">
        <v>114</v>
      </c>
      <c r="T10" s="90" t="s">
        <v>178</v>
      </c>
      <c r="U10" s="61" t="s">
        <v>178</v>
      </c>
      <c r="V10" s="149" t="s">
        <v>1025</v>
      </c>
      <c r="W10" s="149" t="s">
        <v>1026</v>
      </c>
      <c r="X10" s="90" t="s">
        <v>178</v>
      </c>
      <c r="Y10" s="61" t="s">
        <v>839</v>
      </c>
    </row>
    <row r="11" spans="1:25" ht="158.4" x14ac:dyDescent="0.3">
      <c r="A11" s="90" t="s">
        <v>582</v>
      </c>
      <c r="B11" s="174">
        <v>5169</v>
      </c>
      <c r="C11" s="90" t="s">
        <v>591</v>
      </c>
      <c r="D11" s="117" t="s">
        <v>178</v>
      </c>
      <c r="E11" s="90" t="s">
        <v>621</v>
      </c>
      <c r="F11" s="90" t="s">
        <v>622</v>
      </c>
      <c r="G11" s="90" t="s">
        <v>720</v>
      </c>
      <c r="H11" s="90" t="s">
        <v>332</v>
      </c>
      <c r="I11" s="90" t="s">
        <v>118</v>
      </c>
      <c r="J11" s="61" t="s">
        <v>952</v>
      </c>
      <c r="K11" s="61" t="s">
        <v>965</v>
      </c>
      <c r="L11" s="90" t="s">
        <v>178</v>
      </c>
      <c r="M11" s="90" t="s">
        <v>178</v>
      </c>
      <c r="N11" s="149" t="s">
        <v>762</v>
      </c>
      <c r="O11" s="90" t="s">
        <v>114</v>
      </c>
      <c r="P11" s="90" t="s">
        <v>114</v>
      </c>
      <c r="Q11" s="90" t="s">
        <v>114</v>
      </c>
      <c r="R11" s="90" t="s">
        <v>744</v>
      </c>
      <c r="S11" s="90" t="s">
        <v>114</v>
      </c>
      <c r="T11" s="90" t="s">
        <v>178</v>
      </c>
      <c r="U11" s="61" t="s">
        <v>178</v>
      </c>
      <c r="V11" s="90" t="s">
        <v>399</v>
      </c>
      <c r="W11" s="90" t="s">
        <v>399</v>
      </c>
      <c r="X11" s="90" t="s">
        <v>178</v>
      </c>
      <c r="Y11" s="61" t="s">
        <v>839</v>
      </c>
    </row>
    <row r="12" spans="1:25" ht="303.60000000000002" x14ac:dyDescent="0.3">
      <c r="A12" s="90" t="s">
        <v>582</v>
      </c>
      <c r="B12" s="174">
        <v>5170</v>
      </c>
      <c r="C12" s="90" t="s">
        <v>591</v>
      </c>
      <c r="D12" s="117" t="s">
        <v>178</v>
      </c>
      <c r="E12" s="90" t="s">
        <v>623</v>
      </c>
      <c r="F12" s="61" t="s">
        <v>838</v>
      </c>
      <c r="G12" s="61" t="s">
        <v>913</v>
      </c>
      <c r="H12" s="162" t="s">
        <v>784</v>
      </c>
      <c r="I12" s="90" t="s">
        <v>322</v>
      </c>
      <c r="J12" s="61" t="s">
        <v>949</v>
      </c>
      <c r="K12" s="61" t="s">
        <v>755</v>
      </c>
      <c r="L12" s="61" t="s">
        <v>114</v>
      </c>
      <c r="M12" s="61" t="s">
        <v>114</v>
      </c>
      <c r="N12" s="90" t="s">
        <v>763</v>
      </c>
      <c r="O12" s="90" t="s">
        <v>178</v>
      </c>
      <c r="P12" s="90">
        <v>659385</v>
      </c>
      <c r="Q12" s="90" t="s">
        <v>178</v>
      </c>
      <c r="R12" s="90" t="s">
        <v>335</v>
      </c>
      <c r="S12" s="90" t="s">
        <v>972</v>
      </c>
      <c r="T12" s="90" t="s">
        <v>178</v>
      </c>
      <c r="U12" s="61" t="s">
        <v>178</v>
      </c>
      <c r="V12" s="90" t="s">
        <v>399</v>
      </c>
      <c r="W12" s="90" t="s">
        <v>399</v>
      </c>
      <c r="X12" s="90" t="s">
        <v>178</v>
      </c>
      <c r="Y12" s="61" t="s">
        <v>839</v>
      </c>
    </row>
    <row r="13" spans="1:25" ht="145.19999999999999" x14ac:dyDescent="0.3">
      <c r="A13" s="90" t="s">
        <v>582</v>
      </c>
      <c r="B13" s="174">
        <v>5171</v>
      </c>
      <c r="C13" s="90" t="s">
        <v>591</v>
      </c>
      <c r="D13" s="117" t="s">
        <v>178</v>
      </c>
      <c r="E13" s="90" t="s">
        <v>624</v>
      </c>
      <c r="F13" s="90" t="s">
        <v>625</v>
      </c>
      <c r="G13" s="102" t="s">
        <v>626</v>
      </c>
      <c r="H13" s="90" t="s">
        <v>460</v>
      </c>
      <c r="I13" s="90" t="s">
        <v>2</v>
      </c>
      <c r="J13" s="61" t="s">
        <v>873</v>
      </c>
      <c r="K13" s="90" t="s">
        <v>963</v>
      </c>
      <c r="L13" s="90" t="s">
        <v>178</v>
      </c>
      <c r="M13" s="90" t="s">
        <v>178</v>
      </c>
      <c r="N13" s="90" t="s">
        <v>763</v>
      </c>
      <c r="O13" s="90">
        <v>304</v>
      </c>
      <c r="P13" s="90">
        <v>17200</v>
      </c>
      <c r="Q13" s="90">
        <v>47500</v>
      </c>
      <c r="R13" s="90" t="s">
        <v>335</v>
      </c>
      <c r="S13" s="90" t="s">
        <v>973</v>
      </c>
      <c r="T13" s="90" t="s">
        <v>178</v>
      </c>
      <c r="U13" s="61" t="s">
        <v>178</v>
      </c>
      <c r="V13" s="90">
        <v>26.821022630000002</v>
      </c>
      <c r="W13" s="90">
        <v>-81.470341869999999</v>
      </c>
      <c r="X13" s="90" t="s">
        <v>178</v>
      </c>
      <c r="Y13" s="61" t="s">
        <v>839</v>
      </c>
    </row>
    <row r="14" spans="1:25" ht="184.8" x14ac:dyDescent="0.3">
      <c r="A14" s="90" t="s">
        <v>582</v>
      </c>
      <c r="B14" s="174">
        <v>2318</v>
      </c>
      <c r="C14" s="90" t="s">
        <v>77</v>
      </c>
      <c r="D14" s="90" t="s">
        <v>511</v>
      </c>
      <c r="E14" s="90" t="s">
        <v>140</v>
      </c>
      <c r="F14" s="90" t="s">
        <v>12</v>
      </c>
      <c r="G14" s="90" t="s">
        <v>914</v>
      </c>
      <c r="H14" s="90" t="s">
        <v>12</v>
      </c>
      <c r="I14" s="90" t="s">
        <v>1</v>
      </c>
      <c r="J14" s="90" t="s">
        <v>399</v>
      </c>
      <c r="K14" s="90" t="s">
        <v>178</v>
      </c>
      <c r="L14" s="90">
        <v>9299.2142886460551</v>
      </c>
      <c r="M14" s="90">
        <v>3448.2961113327337</v>
      </c>
      <c r="N14" s="90" t="s">
        <v>103</v>
      </c>
      <c r="O14" s="90" t="s">
        <v>178</v>
      </c>
      <c r="P14" s="90" t="s">
        <v>399</v>
      </c>
      <c r="Q14" s="154">
        <v>2000</v>
      </c>
      <c r="R14" s="90" t="s">
        <v>334</v>
      </c>
      <c r="S14" s="90" t="s">
        <v>399</v>
      </c>
      <c r="T14" s="90" t="s">
        <v>178</v>
      </c>
      <c r="U14" s="117" t="s">
        <v>178</v>
      </c>
      <c r="V14" s="90" t="s">
        <v>178</v>
      </c>
      <c r="W14" s="90" t="s">
        <v>178</v>
      </c>
      <c r="X14" s="90" t="s">
        <v>178</v>
      </c>
      <c r="Y14" s="90"/>
    </row>
    <row r="15" spans="1:25" ht="118.8" x14ac:dyDescent="0.3">
      <c r="A15" s="90" t="s">
        <v>582</v>
      </c>
      <c r="B15" s="174">
        <v>2329</v>
      </c>
      <c r="C15" s="90" t="s">
        <v>77</v>
      </c>
      <c r="D15" s="90" t="s">
        <v>178</v>
      </c>
      <c r="E15" s="90" t="s">
        <v>141</v>
      </c>
      <c r="F15" s="90" t="s">
        <v>351</v>
      </c>
      <c r="G15" s="90" t="s">
        <v>80</v>
      </c>
      <c r="H15" s="90" t="s">
        <v>239</v>
      </c>
      <c r="I15" s="90" t="s">
        <v>2</v>
      </c>
      <c r="J15" s="90" t="s">
        <v>399</v>
      </c>
      <c r="K15" s="90" t="s">
        <v>76</v>
      </c>
      <c r="L15" s="90">
        <v>0</v>
      </c>
      <c r="M15" s="90" t="s">
        <v>178</v>
      </c>
      <c r="N15" s="90" t="s">
        <v>103</v>
      </c>
      <c r="O15" s="90" t="s">
        <v>399</v>
      </c>
      <c r="P15" s="90" t="s">
        <v>399</v>
      </c>
      <c r="Q15" s="90" t="s">
        <v>399</v>
      </c>
      <c r="R15" s="90" t="s">
        <v>334</v>
      </c>
      <c r="S15" s="153" t="s">
        <v>399</v>
      </c>
      <c r="T15" s="90" t="s">
        <v>178</v>
      </c>
      <c r="U15" s="117" t="s">
        <v>178</v>
      </c>
      <c r="V15" s="90" t="s">
        <v>399</v>
      </c>
      <c r="W15" s="90" t="s">
        <v>399</v>
      </c>
      <c r="X15" s="90" t="s">
        <v>178</v>
      </c>
      <c r="Y15" s="90"/>
    </row>
    <row r="16" spans="1:25" ht="118.8" x14ac:dyDescent="0.3">
      <c r="A16" s="90" t="s">
        <v>582</v>
      </c>
      <c r="B16" s="174">
        <v>2327</v>
      </c>
      <c r="C16" s="90" t="s">
        <v>77</v>
      </c>
      <c r="D16" s="90" t="s">
        <v>178</v>
      </c>
      <c r="E16" s="90" t="s">
        <v>142</v>
      </c>
      <c r="F16" s="90" t="s">
        <v>350</v>
      </c>
      <c r="G16" s="90" t="s">
        <v>80</v>
      </c>
      <c r="H16" s="90" t="s">
        <v>239</v>
      </c>
      <c r="I16" s="90" t="s">
        <v>2</v>
      </c>
      <c r="J16" s="90" t="s">
        <v>399</v>
      </c>
      <c r="K16" s="90" t="s">
        <v>76</v>
      </c>
      <c r="L16" s="90">
        <v>0</v>
      </c>
      <c r="M16" s="90" t="s">
        <v>178</v>
      </c>
      <c r="N16" s="90" t="s">
        <v>103</v>
      </c>
      <c r="O16" s="90" t="s">
        <v>399</v>
      </c>
      <c r="P16" s="90" t="s">
        <v>399</v>
      </c>
      <c r="Q16" s="90" t="s">
        <v>399</v>
      </c>
      <c r="R16" s="90" t="s">
        <v>334</v>
      </c>
      <c r="S16" s="90" t="s">
        <v>399</v>
      </c>
      <c r="T16" s="90" t="s">
        <v>178</v>
      </c>
      <c r="U16" s="117" t="s">
        <v>178</v>
      </c>
      <c r="V16" s="90" t="s">
        <v>399</v>
      </c>
      <c r="W16" s="90" t="s">
        <v>399</v>
      </c>
      <c r="X16" s="90" t="s">
        <v>178</v>
      </c>
      <c r="Y16" s="90"/>
    </row>
    <row r="17" spans="1:25" ht="118.8" x14ac:dyDescent="0.3">
      <c r="A17" s="90" t="s">
        <v>582</v>
      </c>
      <c r="B17" s="174">
        <v>2339</v>
      </c>
      <c r="C17" s="90" t="s">
        <v>77</v>
      </c>
      <c r="D17" s="90" t="s">
        <v>178</v>
      </c>
      <c r="E17" s="90" t="s">
        <v>143</v>
      </c>
      <c r="F17" s="90" t="s">
        <v>352</v>
      </c>
      <c r="G17" s="90" t="s">
        <v>80</v>
      </c>
      <c r="H17" s="90" t="s">
        <v>239</v>
      </c>
      <c r="I17" s="90" t="s">
        <v>2</v>
      </c>
      <c r="J17" s="90" t="s">
        <v>399</v>
      </c>
      <c r="K17" s="90" t="s">
        <v>76</v>
      </c>
      <c r="L17" s="90">
        <v>0</v>
      </c>
      <c r="M17" s="90" t="s">
        <v>178</v>
      </c>
      <c r="N17" s="90" t="s">
        <v>103</v>
      </c>
      <c r="O17" s="90" t="s">
        <v>399</v>
      </c>
      <c r="P17" s="90" t="s">
        <v>399</v>
      </c>
      <c r="Q17" s="90" t="s">
        <v>399</v>
      </c>
      <c r="R17" s="90" t="s">
        <v>334</v>
      </c>
      <c r="S17" s="90" t="s">
        <v>399</v>
      </c>
      <c r="T17" s="90" t="s">
        <v>178</v>
      </c>
      <c r="U17" s="117" t="s">
        <v>178</v>
      </c>
      <c r="V17" s="90" t="s">
        <v>399</v>
      </c>
      <c r="W17" s="90" t="s">
        <v>399</v>
      </c>
      <c r="X17" s="90" t="s">
        <v>178</v>
      </c>
      <c r="Y17" s="90"/>
    </row>
    <row r="18" spans="1:25" ht="118.8" x14ac:dyDescent="0.3">
      <c r="A18" s="90" t="s">
        <v>582</v>
      </c>
      <c r="B18" s="174">
        <v>2304</v>
      </c>
      <c r="C18" s="90" t="s">
        <v>77</v>
      </c>
      <c r="D18" s="90" t="s">
        <v>178</v>
      </c>
      <c r="E18" s="90" t="s">
        <v>144</v>
      </c>
      <c r="F18" s="90" t="s">
        <v>353</v>
      </c>
      <c r="G18" s="90" t="s">
        <v>80</v>
      </c>
      <c r="H18" s="90" t="s">
        <v>239</v>
      </c>
      <c r="I18" s="90" t="s">
        <v>2</v>
      </c>
      <c r="J18" s="90" t="s">
        <v>399</v>
      </c>
      <c r="K18" s="90" t="s">
        <v>76</v>
      </c>
      <c r="L18" s="90">
        <v>0</v>
      </c>
      <c r="M18" s="90" t="s">
        <v>178</v>
      </c>
      <c r="N18" s="90" t="s">
        <v>103</v>
      </c>
      <c r="O18" s="90" t="s">
        <v>399</v>
      </c>
      <c r="P18" s="90" t="s">
        <v>399</v>
      </c>
      <c r="Q18" s="90" t="s">
        <v>399</v>
      </c>
      <c r="R18" s="90" t="s">
        <v>334</v>
      </c>
      <c r="S18" s="90" t="s">
        <v>399</v>
      </c>
      <c r="T18" s="90" t="s">
        <v>178</v>
      </c>
      <c r="U18" s="117" t="s">
        <v>178</v>
      </c>
      <c r="V18" s="90" t="s">
        <v>399</v>
      </c>
      <c r="W18" s="90" t="s">
        <v>399</v>
      </c>
      <c r="X18" s="90" t="s">
        <v>178</v>
      </c>
      <c r="Y18" s="90"/>
    </row>
    <row r="19" spans="1:25" ht="118.8" x14ac:dyDescent="0.3">
      <c r="A19" s="90" t="s">
        <v>582</v>
      </c>
      <c r="B19" s="174">
        <v>2328</v>
      </c>
      <c r="C19" s="90" t="s">
        <v>77</v>
      </c>
      <c r="D19" s="90" t="s">
        <v>186</v>
      </c>
      <c r="E19" s="90" t="s">
        <v>145</v>
      </c>
      <c r="F19" s="90" t="s">
        <v>354</v>
      </c>
      <c r="G19" s="90" t="s">
        <v>80</v>
      </c>
      <c r="H19" s="90" t="s">
        <v>239</v>
      </c>
      <c r="I19" s="90" t="s">
        <v>2</v>
      </c>
      <c r="J19" s="90" t="s">
        <v>399</v>
      </c>
      <c r="K19" s="90" t="s">
        <v>76</v>
      </c>
      <c r="L19" s="90">
        <v>0</v>
      </c>
      <c r="M19" s="90" t="s">
        <v>178</v>
      </c>
      <c r="N19" s="90" t="s">
        <v>103</v>
      </c>
      <c r="O19" s="90" t="s">
        <v>399</v>
      </c>
      <c r="P19" s="90" t="s">
        <v>399</v>
      </c>
      <c r="Q19" s="90" t="s">
        <v>399</v>
      </c>
      <c r="R19" s="90" t="s">
        <v>334</v>
      </c>
      <c r="S19" s="154" t="s">
        <v>725</v>
      </c>
      <c r="T19" s="90" t="s">
        <v>114</v>
      </c>
      <c r="U19" s="117" t="s">
        <v>178</v>
      </c>
      <c r="V19" s="90" t="s">
        <v>399</v>
      </c>
      <c r="W19" s="90" t="s">
        <v>399</v>
      </c>
      <c r="X19" s="90" t="s">
        <v>178</v>
      </c>
      <c r="Y19" s="90"/>
    </row>
    <row r="20" spans="1:25" ht="118.8" x14ac:dyDescent="0.3">
      <c r="A20" s="90" t="s">
        <v>582</v>
      </c>
      <c r="B20" s="174">
        <v>2296</v>
      </c>
      <c r="C20" s="90" t="s">
        <v>77</v>
      </c>
      <c r="D20" s="90" t="s">
        <v>186</v>
      </c>
      <c r="E20" s="90" t="s">
        <v>146</v>
      </c>
      <c r="F20" s="90" t="s">
        <v>355</v>
      </c>
      <c r="G20" s="90" t="s">
        <v>80</v>
      </c>
      <c r="H20" s="90" t="s">
        <v>239</v>
      </c>
      <c r="I20" s="90" t="s">
        <v>2</v>
      </c>
      <c r="J20" s="90" t="s">
        <v>399</v>
      </c>
      <c r="K20" s="90" t="s">
        <v>76</v>
      </c>
      <c r="L20" s="90">
        <v>0</v>
      </c>
      <c r="M20" s="90" t="s">
        <v>178</v>
      </c>
      <c r="N20" s="90" t="s">
        <v>103</v>
      </c>
      <c r="O20" s="90" t="s">
        <v>399</v>
      </c>
      <c r="P20" s="90" t="s">
        <v>399</v>
      </c>
      <c r="Q20" s="90" t="s">
        <v>399</v>
      </c>
      <c r="R20" s="90" t="s">
        <v>334</v>
      </c>
      <c r="S20" s="90" t="s">
        <v>726</v>
      </c>
      <c r="T20" s="90" t="s">
        <v>114</v>
      </c>
      <c r="U20" s="117" t="s">
        <v>178</v>
      </c>
      <c r="V20" s="90" t="s">
        <v>399</v>
      </c>
      <c r="W20" s="90" t="s">
        <v>399</v>
      </c>
      <c r="X20" s="90" t="s">
        <v>178</v>
      </c>
      <c r="Y20" s="90"/>
    </row>
    <row r="21" spans="1:25" ht="52.8" x14ac:dyDescent="0.3">
      <c r="A21" s="90" t="s">
        <v>582</v>
      </c>
      <c r="B21" s="174">
        <v>2297</v>
      </c>
      <c r="C21" s="90" t="s">
        <v>77</v>
      </c>
      <c r="D21" s="90" t="s">
        <v>178</v>
      </c>
      <c r="E21" s="90" t="s">
        <v>147</v>
      </c>
      <c r="F21" s="90" t="s">
        <v>13</v>
      </c>
      <c r="G21" s="90" t="s">
        <v>88</v>
      </c>
      <c r="H21" s="90" t="s">
        <v>240</v>
      </c>
      <c r="I21" s="90" t="s">
        <v>2</v>
      </c>
      <c r="J21" s="90" t="s">
        <v>399</v>
      </c>
      <c r="K21" s="90" t="s">
        <v>76</v>
      </c>
      <c r="L21" s="90" t="s">
        <v>178</v>
      </c>
      <c r="M21" s="90" t="s">
        <v>178</v>
      </c>
      <c r="N21" s="90" t="s">
        <v>103</v>
      </c>
      <c r="O21" s="90" t="s">
        <v>399</v>
      </c>
      <c r="P21" s="90" t="s">
        <v>399</v>
      </c>
      <c r="Q21" s="90" t="s">
        <v>399</v>
      </c>
      <c r="R21" s="90" t="s">
        <v>334</v>
      </c>
      <c r="S21" s="90" t="s">
        <v>399</v>
      </c>
      <c r="T21" s="90" t="s">
        <v>178</v>
      </c>
      <c r="U21" s="117" t="s">
        <v>178</v>
      </c>
      <c r="V21" s="90" t="s">
        <v>399</v>
      </c>
      <c r="W21" s="90" t="s">
        <v>399</v>
      </c>
      <c r="X21" s="90" t="s">
        <v>178</v>
      </c>
      <c r="Y21" s="90"/>
    </row>
    <row r="22" spans="1:25" ht="52.8" x14ac:dyDescent="0.3">
      <c r="A22" s="90" t="s">
        <v>582</v>
      </c>
      <c r="B22" s="174">
        <v>2298</v>
      </c>
      <c r="C22" s="90" t="s">
        <v>77</v>
      </c>
      <c r="D22" s="90" t="s">
        <v>178</v>
      </c>
      <c r="E22" s="90" t="s">
        <v>148</v>
      </c>
      <c r="F22" s="90" t="s">
        <v>356</v>
      </c>
      <c r="G22" s="90" t="s">
        <v>288</v>
      </c>
      <c r="H22" s="90" t="s">
        <v>240</v>
      </c>
      <c r="I22" s="90" t="s">
        <v>2</v>
      </c>
      <c r="J22" s="90" t="s">
        <v>399</v>
      </c>
      <c r="K22" s="90" t="s">
        <v>76</v>
      </c>
      <c r="L22" s="90" t="s">
        <v>178</v>
      </c>
      <c r="M22" s="90" t="s">
        <v>178</v>
      </c>
      <c r="N22" s="90" t="s">
        <v>103</v>
      </c>
      <c r="O22" s="90" t="s">
        <v>399</v>
      </c>
      <c r="P22" s="90" t="s">
        <v>399</v>
      </c>
      <c r="Q22" s="90" t="s">
        <v>399</v>
      </c>
      <c r="R22" s="90" t="s">
        <v>334</v>
      </c>
      <c r="S22" s="90" t="s">
        <v>399</v>
      </c>
      <c r="T22" s="90" t="s">
        <v>178</v>
      </c>
      <c r="U22" s="117" t="s">
        <v>178</v>
      </c>
      <c r="V22" s="90" t="s">
        <v>399</v>
      </c>
      <c r="W22" s="90" t="s">
        <v>399</v>
      </c>
      <c r="X22" s="90" t="s">
        <v>178</v>
      </c>
      <c r="Y22" s="90"/>
    </row>
    <row r="23" spans="1:25" ht="118.8" x14ac:dyDescent="0.3">
      <c r="A23" s="90" t="s">
        <v>582</v>
      </c>
      <c r="B23" s="174">
        <v>2361</v>
      </c>
      <c r="C23" s="90" t="s">
        <v>77</v>
      </c>
      <c r="D23" s="90" t="s">
        <v>178</v>
      </c>
      <c r="E23" s="90" t="s">
        <v>14</v>
      </c>
      <c r="F23" s="90" t="s">
        <v>15</v>
      </c>
      <c r="G23" s="90" t="s">
        <v>500</v>
      </c>
      <c r="H23" s="90" t="s">
        <v>106</v>
      </c>
      <c r="I23" s="90" t="s">
        <v>2</v>
      </c>
      <c r="J23" s="90" t="s">
        <v>399</v>
      </c>
      <c r="K23" s="90" t="s">
        <v>76</v>
      </c>
      <c r="L23" s="90">
        <v>4415.9061545880486</v>
      </c>
      <c r="M23" s="90">
        <v>3411.7144657723475</v>
      </c>
      <c r="N23" s="90" t="s">
        <v>103</v>
      </c>
      <c r="O23" s="90">
        <v>10702</v>
      </c>
      <c r="P23" s="90" t="s">
        <v>399</v>
      </c>
      <c r="Q23" s="90" t="s">
        <v>399</v>
      </c>
      <c r="R23" s="90" t="s">
        <v>334</v>
      </c>
      <c r="S23" s="90" t="s">
        <v>399</v>
      </c>
      <c r="T23" s="90" t="s">
        <v>178</v>
      </c>
      <c r="U23" s="117" t="s">
        <v>178</v>
      </c>
      <c r="V23" s="90" t="s">
        <v>399</v>
      </c>
      <c r="W23" s="90" t="s">
        <v>399</v>
      </c>
      <c r="X23" s="90" t="s">
        <v>178</v>
      </c>
      <c r="Y23" s="90"/>
    </row>
    <row r="24" spans="1:25" ht="105.6" x14ac:dyDescent="0.3">
      <c r="A24" s="90" t="s">
        <v>582</v>
      </c>
      <c r="B24" s="174">
        <v>2299</v>
      </c>
      <c r="C24" s="90" t="s">
        <v>77</v>
      </c>
      <c r="D24" s="90" t="s">
        <v>178</v>
      </c>
      <c r="E24" s="90" t="s">
        <v>16</v>
      </c>
      <c r="F24" s="90" t="s">
        <v>17</v>
      </c>
      <c r="G24" s="90" t="s">
        <v>81</v>
      </c>
      <c r="H24" s="90" t="s">
        <v>128</v>
      </c>
      <c r="I24" s="90" t="s">
        <v>2</v>
      </c>
      <c r="J24" s="90" t="s">
        <v>399</v>
      </c>
      <c r="K24" s="90" t="s">
        <v>76</v>
      </c>
      <c r="L24" s="90">
        <v>796</v>
      </c>
      <c r="M24" s="90">
        <v>140.80000000000001</v>
      </c>
      <c r="N24" s="90" t="s">
        <v>103</v>
      </c>
      <c r="O24" s="90" t="s">
        <v>399</v>
      </c>
      <c r="P24" s="90" t="s">
        <v>399</v>
      </c>
      <c r="Q24" s="90" t="s">
        <v>399</v>
      </c>
      <c r="R24" s="90" t="s">
        <v>334</v>
      </c>
      <c r="S24" s="90" t="s">
        <v>399</v>
      </c>
      <c r="T24" s="90" t="s">
        <v>178</v>
      </c>
      <c r="U24" s="117" t="s">
        <v>178</v>
      </c>
      <c r="V24" s="90" t="s">
        <v>399</v>
      </c>
      <c r="W24" s="90" t="s">
        <v>399</v>
      </c>
      <c r="X24" s="90" t="s">
        <v>178</v>
      </c>
      <c r="Y24" s="90"/>
    </row>
    <row r="25" spans="1:25" ht="145.19999999999999" x14ac:dyDescent="0.3">
      <c r="A25" s="90" t="s">
        <v>582</v>
      </c>
      <c r="B25" s="174">
        <v>2330</v>
      </c>
      <c r="C25" s="90" t="s">
        <v>77</v>
      </c>
      <c r="D25" s="90" t="s">
        <v>178</v>
      </c>
      <c r="E25" s="90" t="s">
        <v>18</v>
      </c>
      <c r="F25" s="90" t="s">
        <v>358</v>
      </c>
      <c r="G25" s="90" t="s">
        <v>252</v>
      </c>
      <c r="H25" s="90" t="s">
        <v>106</v>
      </c>
      <c r="I25" s="90" t="s">
        <v>2</v>
      </c>
      <c r="J25" s="90" t="s">
        <v>399</v>
      </c>
      <c r="K25" s="90" t="s">
        <v>76</v>
      </c>
      <c r="L25" s="90" t="s">
        <v>178</v>
      </c>
      <c r="M25" s="90" t="s">
        <v>178</v>
      </c>
      <c r="N25" s="90" t="s">
        <v>103</v>
      </c>
      <c r="O25" s="90">
        <v>932</v>
      </c>
      <c r="P25" s="90" t="s">
        <v>399</v>
      </c>
      <c r="Q25" s="90" t="s">
        <v>399</v>
      </c>
      <c r="R25" s="90" t="s">
        <v>334</v>
      </c>
      <c r="S25" s="90" t="s">
        <v>399</v>
      </c>
      <c r="T25" s="90" t="s">
        <v>178</v>
      </c>
      <c r="U25" s="117" t="s">
        <v>178</v>
      </c>
      <c r="V25" s="90" t="s">
        <v>399</v>
      </c>
      <c r="W25" s="90" t="s">
        <v>399</v>
      </c>
      <c r="X25" s="90" t="s">
        <v>178</v>
      </c>
      <c r="Y25" s="90"/>
    </row>
    <row r="26" spans="1:25" ht="145.19999999999999" x14ac:dyDescent="0.3">
      <c r="A26" s="90" t="s">
        <v>582</v>
      </c>
      <c r="B26" s="174">
        <v>2300</v>
      </c>
      <c r="C26" s="90" t="s">
        <v>77</v>
      </c>
      <c r="D26" s="90" t="s">
        <v>178</v>
      </c>
      <c r="E26" s="90" t="s">
        <v>19</v>
      </c>
      <c r="F26" s="90" t="s">
        <v>357</v>
      </c>
      <c r="G26" s="90" t="s">
        <v>252</v>
      </c>
      <c r="H26" s="90" t="s">
        <v>106</v>
      </c>
      <c r="I26" s="90" t="s">
        <v>2</v>
      </c>
      <c r="J26" s="90" t="s">
        <v>399</v>
      </c>
      <c r="K26" s="90" t="s">
        <v>76</v>
      </c>
      <c r="L26" s="90" t="s">
        <v>178</v>
      </c>
      <c r="M26" s="90" t="s">
        <v>178</v>
      </c>
      <c r="N26" s="90" t="s">
        <v>103</v>
      </c>
      <c r="O26" s="90">
        <v>1314</v>
      </c>
      <c r="P26" s="90" t="s">
        <v>399</v>
      </c>
      <c r="Q26" s="90" t="s">
        <v>399</v>
      </c>
      <c r="R26" s="90" t="s">
        <v>334</v>
      </c>
      <c r="S26" s="90" t="s">
        <v>399</v>
      </c>
      <c r="T26" s="90" t="s">
        <v>178</v>
      </c>
      <c r="U26" s="117" t="s">
        <v>178</v>
      </c>
      <c r="V26" s="90" t="s">
        <v>399</v>
      </c>
      <c r="W26" s="90" t="s">
        <v>399</v>
      </c>
      <c r="X26" s="90" t="s">
        <v>178</v>
      </c>
      <c r="Y26" s="90"/>
    </row>
    <row r="27" spans="1:25" ht="105.6" x14ac:dyDescent="0.3">
      <c r="A27" s="90" t="s">
        <v>582</v>
      </c>
      <c r="B27" s="174">
        <v>2301</v>
      </c>
      <c r="C27" s="90" t="s">
        <v>77</v>
      </c>
      <c r="D27" s="90" t="s">
        <v>178</v>
      </c>
      <c r="E27" s="90" t="s">
        <v>63</v>
      </c>
      <c r="F27" s="90" t="s">
        <v>3</v>
      </c>
      <c r="G27" s="90" t="s">
        <v>82</v>
      </c>
      <c r="H27" s="90" t="s">
        <v>3</v>
      </c>
      <c r="I27" s="90" t="s">
        <v>1</v>
      </c>
      <c r="J27" s="90" t="s">
        <v>951</v>
      </c>
      <c r="K27" s="90" t="s">
        <v>178</v>
      </c>
      <c r="L27" s="117">
        <v>245.7507490952089</v>
      </c>
      <c r="M27" s="117">
        <v>140.54965445521</v>
      </c>
      <c r="N27" s="90" t="s">
        <v>103</v>
      </c>
      <c r="O27" s="90" t="s">
        <v>178</v>
      </c>
      <c r="P27" s="90" t="s">
        <v>399</v>
      </c>
      <c r="Q27" s="154">
        <v>360000</v>
      </c>
      <c r="R27" s="90" t="s">
        <v>334</v>
      </c>
      <c r="S27" s="90" t="s">
        <v>399</v>
      </c>
      <c r="T27" s="90" t="s">
        <v>178</v>
      </c>
      <c r="U27" s="117" t="s">
        <v>178</v>
      </c>
      <c r="V27" s="90" t="s">
        <v>399</v>
      </c>
      <c r="W27" s="90" t="s">
        <v>399</v>
      </c>
      <c r="X27" s="90" t="s">
        <v>178</v>
      </c>
      <c r="Y27" s="90"/>
    </row>
    <row r="28" spans="1:25" ht="66" x14ac:dyDescent="0.3">
      <c r="A28" s="90" t="s">
        <v>582</v>
      </c>
      <c r="B28" s="174">
        <v>2302</v>
      </c>
      <c r="C28" s="90" t="s">
        <v>77</v>
      </c>
      <c r="D28" s="90" t="s">
        <v>178</v>
      </c>
      <c r="E28" s="90" t="s">
        <v>67</v>
      </c>
      <c r="F28" s="90" t="s">
        <v>68</v>
      </c>
      <c r="G28" s="90" t="s">
        <v>99</v>
      </c>
      <c r="H28" s="90" t="s">
        <v>486</v>
      </c>
      <c r="I28" s="90" t="s">
        <v>2</v>
      </c>
      <c r="J28" s="90" t="s">
        <v>399</v>
      </c>
      <c r="K28" s="90" t="s">
        <v>951</v>
      </c>
      <c r="L28" s="90">
        <v>66149</v>
      </c>
      <c r="M28" s="90" t="s">
        <v>178</v>
      </c>
      <c r="N28" s="90" t="s">
        <v>103</v>
      </c>
      <c r="O28" s="90">
        <v>2560</v>
      </c>
      <c r="P28" s="90" t="s">
        <v>399</v>
      </c>
      <c r="Q28" s="90" t="s">
        <v>399</v>
      </c>
      <c r="R28" s="90" t="s">
        <v>334</v>
      </c>
      <c r="S28" s="90" t="s">
        <v>399</v>
      </c>
      <c r="T28" s="90" t="s">
        <v>178</v>
      </c>
      <c r="U28" s="117" t="s">
        <v>178</v>
      </c>
      <c r="V28" s="90" t="s">
        <v>399</v>
      </c>
      <c r="W28" s="90" t="s">
        <v>399</v>
      </c>
      <c r="X28" s="117" t="s">
        <v>178</v>
      </c>
      <c r="Y28" s="90"/>
    </row>
    <row r="29" spans="1:25" ht="105.6" x14ac:dyDescent="0.3">
      <c r="A29" s="90" t="s">
        <v>582</v>
      </c>
      <c r="B29" s="174">
        <v>2332</v>
      </c>
      <c r="C29" s="90" t="s">
        <v>77</v>
      </c>
      <c r="D29" s="90" t="s">
        <v>178</v>
      </c>
      <c r="E29" s="90" t="s">
        <v>104</v>
      </c>
      <c r="F29" s="90" t="s">
        <v>105</v>
      </c>
      <c r="G29" s="90" t="s">
        <v>253</v>
      </c>
      <c r="H29" s="90" t="s">
        <v>452</v>
      </c>
      <c r="I29" s="163" t="s">
        <v>2</v>
      </c>
      <c r="J29" s="90" t="s">
        <v>951</v>
      </c>
      <c r="K29" s="90" t="s">
        <v>951</v>
      </c>
      <c r="L29" s="117">
        <v>109.32637887505491</v>
      </c>
      <c r="M29" s="117">
        <v>56.023288838789995</v>
      </c>
      <c r="N29" s="90" t="s">
        <v>103</v>
      </c>
      <c r="O29" s="90" t="s">
        <v>399</v>
      </c>
      <c r="P29" s="90" t="s">
        <v>399</v>
      </c>
      <c r="Q29" s="154">
        <v>170000</v>
      </c>
      <c r="R29" s="90" t="s">
        <v>334</v>
      </c>
      <c r="S29" s="90" t="s">
        <v>399</v>
      </c>
      <c r="T29" s="90" t="s">
        <v>178</v>
      </c>
      <c r="U29" s="117" t="s">
        <v>178</v>
      </c>
      <c r="V29" s="90" t="s">
        <v>399</v>
      </c>
      <c r="W29" s="90" t="s">
        <v>399</v>
      </c>
      <c r="X29" s="90" t="s">
        <v>178</v>
      </c>
      <c r="Y29" s="90"/>
    </row>
    <row r="30" spans="1:25" ht="118.8" x14ac:dyDescent="0.3">
      <c r="A30" s="90" t="s">
        <v>582</v>
      </c>
      <c r="B30" s="175">
        <v>4365</v>
      </c>
      <c r="C30" s="90" t="s">
        <v>77</v>
      </c>
      <c r="D30" s="90" t="s">
        <v>178</v>
      </c>
      <c r="E30" s="90" t="s">
        <v>421</v>
      </c>
      <c r="F30" s="90" t="s">
        <v>422</v>
      </c>
      <c r="G30" s="90" t="s">
        <v>425</v>
      </c>
      <c r="H30" s="98" t="s">
        <v>448</v>
      </c>
      <c r="I30" s="163" t="s">
        <v>2</v>
      </c>
      <c r="J30" s="90" t="s">
        <v>399</v>
      </c>
      <c r="K30" s="90" t="s">
        <v>860</v>
      </c>
      <c r="L30" s="90" t="s">
        <v>114</v>
      </c>
      <c r="M30" s="90" t="s">
        <v>114</v>
      </c>
      <c r="N30" s="90" t="s">
        <v>103</v>
      </c>
      <c r="O30" s="90">
        <v>5</v>
      </c>
      <c r="P30" s="90" t="s">
        <v>399</v>
      </c>
      <c r="Q30" s="90" t="s">
        <v>399</v>
      </c>
      <c r="R30" s="90" t="s">
        <v>77</v>
      </c>
      <c r="S30" s="90" t="s">
        <v>399</v>
      </c>
      <c r="T30" s="90" t="s">
        <v>178</v>
      </c>
      <c r="U30" s="117" t="s">
        <v>178</v>
      </c>
      <c r="V30" s="90">
        <v>26.564589000000002</v>
      </c>
      <c r="W30" s="90">
        <v>-81.958070000000006</v>
      </c>
      <c r="X30" s="90" t="s">
        <v>178</v>
      </c>
      <c r="Y30" s="90"/>
    </row>
    <row r="31" spans="1:25" ht="303.60000000000002" x14ac:dyDescent="0.3">
      <c r="A31" s="90" t="s">
        <v>582</v>
      </c>
      <c r="B31" s="175">
        <v>4366</v>
      </c>
      <c r="C31" s="90" t="s">
        <v>77</v>
      </c>
      <c r="D31" s="90" t="s">
        <v>78</v>
      </c>
      <c r="E31" s="90" t="s">
        <v>423</v>
      </c>
      <c r="F31" s="90" t="s">
        <v>424</v>
      </c>
      <c r="G31" s="90" t="s">
        <v>426</v>
      </c>
      <c r="H31" s="98" t="s">
        <v>209</v>
      </c>
      <c r="I31" s="163" t="s">
        <v>118</v>
      </c>
      <c r="J31" s="90" t="s">
        <v>399</v>
      </c>
      <c r="K31" s="90" t="s">
        <v>114</v>
      </c>
      <c r="L31" s="90" t="s">
        <v>114</v>
      </c>
      <c r="M31" s="90" t="s">
        <v>114</v>
      </c>
      <c r="N31" s="90" t="s">
        <v>103</v>
      </c>
      <c r="O31" s="90" t="s">
        <v>178</v>
      </c>
      <c r="P31" s="90" t="s">
        <v>399</v>
      </c>
      <c r="Q31" s="90" t="s">
        <v>399</v>
      </c>
      <c r="R31" s="90" t="s">
        <v>77</v>
      </c>
      <c r="S31" s="90" t="s">
        <v>399</v>
      </c>
      <c r="T31" s="90" t="s">
        <v>178</v>
      </c>
      <c r="U31" s="117" t="s">
        <v>178</v>
      </c>
      <c r="V31" s="90">
        <v>26.59652977</v>
      </c>
      <c r="W31" s="90">
        <v>-81.889768259999997</v>
      </c>
      <c r="X31" s="90" t="s">
        <v>1029</v>
      </c>
      <c r="Y31" s="90"/>
    </row>
    <row r="32" spans="1:25" ht="303.60000000000002" x14ac:dyDescent="0.3">
      <c r="A32" s="90" t="s">
        <v>582</v>
      </c>
      <c r="B32" s="174">
        <v>4840</v>
      </c>
      <c r="C32" s="90" t="s">
        <v>77</v>
      </c>
      <c r="D32" s="90" t="s">
        <v>28</v>
      </c>
      <c r="E32" s="90" t="s">
        <v>545</v>
      </c>
      <c r="F32" s="90" t="s">
        <v>589</v>
      </c>
      <c r="G32" s="90" t="s">
        <v>585</v>
      </c>
      <c r="H32" s="98" t="s">
        <v>116</v>
      </c>
      <c r="I32" s="163" t="s">
        <v>322</v>
      </c>
      <c r="J32" s="90" t="s">
        <v>399</v>
      </c>
      <c r="K32" s="90" t="s">
        <v>114</v>
      </c>
      <c r="L32" s="90">
        <v>13.5</v>
      </c>
      <c r="M32" s="90">
        <v>18.8</v>
      </c>
      <c r="N32" s="90" t="s">
        <v>103</v>
      </c>
      <c r="O32" s="90">
        <v>30.55</v>
      </c>
      <c r="P32" s="90" t="s">
        <v>114</v>
      </c>
      <c r="Q32" s="90" t="s">
        <v>114</v>
      </c>
      <c r="R32" s="90" t="s">
        <v>399</v>
      </c>
      <c r="S32" s="90" t="s">
        <v>399</v>
      </c>
      <c r="T32" s="90" t="s">
        <v>178</v>
      </c>
      <c r="U32" s="117" t="s">
        <v>399</v>
      </c>
      <c r="V32" s="90">
        <v>26.71308702</v>
      </c>
      <c r="W32" s="90">
        <v>-81.930542399999993</v>
      </c>
      <c r="X32" s="90" t="s">
        <v>178</v>
      </c>
      <c r="Y32" s="90"/>
    </row>
    <row r="33" spans="1:25" ht="105.6" x14ac:dyDescent="0.3">
      <c r="A33" s="90" t="s">
        <v>582</v>
      </c>
      <c r="B33" s="174">
        <v>5172</v>
      </c>
      <c r="C33" s="90" t="s">
        <v>627</v>
      </c>
      <c r="D33" s="90" t="s">
        <v>723</v>
      </c>
      <c r="E33" s="90" t="s">
        <v>628</v>
      </c>
      <c r="F33" s="90" t="s">
        <v>602</v>
      </c>
      <c r="G33" s="90" t="s">
        <v>603</v>
      </c>
      <c r="H33" s="98" t="s">
        <v>12</v>
      </c>
      <c r="I33" s="90" t="s">
        <v>118</v>
      </c>
      <c r="J33" s="61" t="s">
        <v>950</v>
      </c>
      <c r="K33" s="90" t="s">
        <v>178</v>
      </c>
      <c r="L33" s="90" t="s">
        <v>178</v>
      </c>
      <c r="M33" s="90" t="s">
        <v>178</v>
      </c>
      <c r="N33" s="90" t="s">
        <v>762</v>
      </c>
      <c r="O33" s="90" t="s">
        <v>178</v>
      </c>
      <c r="P33" s="61">
        <v>500</v>
      </c>
      <c r="Q33" s="90" t="s">
        <v>178</v>
      </c>
      <c r="R33" s="90" t="s">
        <v>627</v>
      </c>
      <c r="S33" s="61" t="s">
        <v>974</v>
      </c>
      <c r="T33" s="90" t="s">
        <v>178</v>
      </c>
      <c r="U33" s="117" t="s">
        <v>178</v>
      </c>
      <c r="V33" s="61">
        <v>26.750692000000001</v>
      </c>
      <c r="W33" s="61">
        <v>-80.936481000000001</v>
      </c>
      <c r="X33" s="90" t="s">
        <v>178</v>
      </c>
      <c r="Y33" s="90"/>
    </row>
    <row r="34" spans="1:25" ht="132" x14ac:dyDescent="0.3">
      <c r="A34" s="90" t="s">
        <v>582</v>
      </c>
      <c r="B34" s="174">
        <v>5173</v>
      </c>
      <c r="C34" s="90" t="s">
        <v>627</v>
      </c>
      <c r="D34" s="90" t="s">
        <v>96</v>
      </c>
      <c r="E34" s="90" t="s">
        <v>629</v>
      </c>
      <c r="F34" s="90" t="s">
        <v>605</v>
      </c>
      <c r="G34" s="90" t="s">
        <v>606</v>
      </c>
      <c r="H34" s="90" t="s">
        <v>444</v>
      </c>
      <c r="I34" s="90" t="s">
        <v>118</v>
      </c>
      <c r="J34" s="61" t="s">
        <v>950</v>
      </c>
      <c r="K34" s="90" t="s">
        <v>178</v>
      </c>
      <c r="L34" s="90" t="s">
        <v>178</v>
      </c>
      <c r="M34" s="90" t="s">
        <v>178</v>
      </c>
      <c r="N34" s="90" t="s">
        <v>762</v>
      </c>
      <c r="O34" s="90" t="s">
        <v>178</v>
      </c>
      <c r="P34" s="61">
        <v>1000</v>
      </c>
      <c r="Q34" s="90" t="s">
        <v>178</v>
      </c>
      <c r="R34" s="90" t="s">
        <v>627</v>
      </c>
      <c r="S34" s="61" t="s">
        <v>975</v>
      </c>
      <c r="T34" s="90" t="s">
        <v>178</v>
      </c>
      <c r="U34" s="117" t="s">
        <v>178</v>
      </c>
      <c r="V34" s="61">
        <v>26.750692000000001</v>
      </c>
      <c r="W34" s="61">
        <v>-80.936481000000001</v>
      </c>
      <c r="X34" s="90" t="s">
        <v>178</v>
      </c>
      <c r="Y34" s="90"/>
    </row>
    <row r="35" spans="1:25" ht="105.6" x14ac:dyDescent="0.3">
      <c r="A35" s="90" t="s">
        <v>582</v>
      </c>
      <c r="B35" s="174">
        <v>5174</v>
      </c>
      <c r="C35" s="90" t="s">
        <v>627</v>
      </c>
      <c r="D35" s="90" t="s">
        <v>178</v>
      </c>
      <c r="E35" s="90" t="s">
        <v>630</v>
      </c>
      <c r="F35" s="90" t="s">
        <v>608</v>
      </c>
      <c r="G35" s="149" t="s">
        <v>926</v>
      </c>
      <c r="H35" s="90" t="s">
        <v>107</v>
      </c>
      <c r="I35" s="90" t="s">
        <v>2</v>
      </c>
      <c r="J35" s="61" t="s">
        <v>798</v>
      </c>
      <c r="K35" s="90" t="s">
        <v>798</v>
      </c>
      <c r="L35" s="90" t="s">
        <v>178</v>
      </c>
      <c r="M35" s="90" t="s">
        <v>178</v>
      </c>
      <c r="N35" s="90" t="s">
        <v>762</v>
      </c>
      <c r="O35" s="90" t="s">
        <v>178</v>
      </c>
      <c r="P35" s="61">
        <v>0</v>
      </c>
      <c r="Q35" s="90" t="s">
        <v>178</v>
      </c>
      <c r="R35" s="90" t="s">
        <v>627</v>
      </c>
      <c r="S35" s="149" t="s">
        <v>178</v>
      </c>
      <c r="T35" s="90" t="s">
        <v>178</v>
      </c>
      <c r="U35" s="117" t="s">
        <v>178</v>
      </c>
      <c r="V35" s="61">
        <v>26.755175000000001</v>
      </c>
      <c r="W35" s="61">
        <v>-80.935078000000004</v>
      </c>
      <c r="X35" s="90" t="s">
        <v>178</v>
      </c>
      <c r="Y35" s="90"/>
    </row>
    <row r="36" spans="1:25" ht="92.4" x14ac:dyDescent="0.3">
      <c r="A36" s="90" t="s">
        <v>582</v>
      </c>
      <c r="B36" s="174">
        <v>5175</v>
      </c>
      <c r="C36" s="90" t="s">
        <v>627</v>
      </c>
      <c r="D36" s="90" t="s">
        <v>178</v>
      </c>
      <c r="E36" s="90" t="s">
        <v>631</v>
      </c>
      <c r="F36" s="90" t="s">
        <v>613</v>
      </c>
      <c r="G36" s="90" t="s">
        <v>614</v>
      </c>
      <c r="H36" s="90" t="s">
        <v>106</v>
      </c>
      <c r="I36" s="163" t="s">
        <v>1</v>
      </c>
      <c r="J36" s="61" t="s">
        <v>798</v>
      </c>
      <c r="K36" s="90" t="s">
        <v>178</v>
      </c>
      <c r="L36" s="90" t="s">
        <v>178</v>
      </c>
      <c r="M36" s="90" t="s">
        <v>178</v>
      </c>
      <c r="N36" s="90" t="s">
        <v>762</v>
      </c>
      <c r="O36" s="90" t="s">
        <v>178</v>
      </c>
      <c r="P36" s="61">
        <v>22500</v>
      </c>
      <c r="Q36" s="90" t="s">
        <v>178</v>
      </c>
      <c r="R36" s="90" t="s">
        <v>627</v>
      </c>
      <c r="S36" s="61" t="s">
        <v>976</v>
      </c>
      <c r="T36" s="90" t="s">
        <v>178</v>
      </c>
      <c r="U36" s="117" t="s">
        <v>178</v>
      </c>
      <c r="V36" s="61">
        <v>26.75631388888889</v>
      </c>
      <c r="W36" s="61">
        <v>-80.927722222222229</v>
      </c>
      <c r="X36" s="90" t="s">
        <v>178</v>
      </c>
      <c r="Y36" s="90"/>
    </row>
    <row r="37" spans="1:25" ht="66" x14ac:dyDescent="0.3">
      <c r="A37" s="90" t="s">
        <v>582</v>
      </c>
      <c r="B37" s="174">
        <v>5176</v>
      </c>
      <c r="C37" s="90" t="s">
        <v>627</v>
      </c>
      <c r="D37" s="90" t="s">
        <v>178</v>
      </c>
      <c r="E37" s="90" t="s">
        <v>632</v>
      </c>
      <c r="F37" s="90" t="s">
        <v>633</v>
      </c>
      <c r="G37" s="90" t="s">
        <v>634</v>
      </c>
      <c r="H37" s="90" t="s">
        <v>219</v>
      </c>
      <c r="I37" s="163" t="s">
        <v>118</v>
      </c>
      <c r="J37" s="61" t="s">
        <v>798</v>
      </c>
      <c r="K37" s="90" t="s">
        <v>178</v>
      </c>
      <c r="L37" s="90" t="s">
        <v>178</v>
      </c>
      <c r="M37" s="90" t="s">
        <v>178</v>
      </c>
      <c r="N37" s="90" t="s">
        <v>762</v>
      </c>
      <c r="O37" s="90" t="s">
        <v>178</v>
      </c>
      <c r="P37" s="61">
        <v>2000</v>
      </c>
      <c r="Q37" s="90" t="s">
        <v>178</v>
      </c>
      <c r="R37" s="90" t="s">
        <v>627</v>
      </c>
      <c r="S37" s="61" t="s">
        <v>977</v>
      </c>
      <c r="T37" s="90" t="s">
        <v>178</v>
      </c>
      <c r="U37" s="117" t="s">
        <v>178</v>
      </c>
      <c r="V37" s="61">
        <v>26.755175000000001</v>
      </c>
      <c r="W37" s="61">
        <v>-80.935078000000004</v>
      </c>
      <c r="X37" s="90" t="s">
        <v>178</v>
      </c>
      <c r="Y37" s="90"/>
    </row>
    <row r="38" spans="1:25" ht="303.60000000000002" x14ac:dyDescent="0.3">
      <c r="A38" s="90" t="s">
        <v>582</v>
      </c>
      <c r="B38" s="174">
        <v>2331</v>
      </c>
      <c r="C38" s="90" t="s">
        <v>58</v>
      </c>
      <c r="D38" s="90" t="s">
        <v>399</v>
      </c>
      <c r="E38" s="90" t="s">
        <v>139</v>
      </c>
      <c r="F38" s="90" t="s">
        <v>12</v>
      </c>
      <c r="G38" s="90" t="s">
        <v>331</v>
      </c>
      <c r="H38" s="90" t="s">
        <v>12</v>
      </c>
      <c r="I38" s="163" t="s">
        <v>1</v>
      </c>
      <c r="J38" s="90" t="s">
        <v>399</v>
      </c>
      <c r="K38" s="90" t="s">
        <v>178</v>
      </c>
      <c r="L38" s="90">
        <v>1272.2774924126636</v>
      </c>
      <c r="M38" s="90">
        <v>212.39781875572319</v>
      </c>
      <c r="N38" s="90" t="s">
        <v>764</v>
      </c>
      <c r="O38" s="90" t="s">
        <v>178</v>
      </c>
      <c r="P38" s="90" t="s">
        <v>399</v>
      </c>
      <c r="Q38" s="90" t="s">
        <v>399</v>
      </c>
      <c r="R38" s="90" t="s">
        <v>399</v>
      </c>
      <c r="S38" s="90" t="s">
        <v>399</v>
      </c>
      <c r="T38" s="90" t="s">
        <v>178</v>
      </c>
      <c r="U38" s="117" t="s">
        <v>178</v>
      </c>
      <c r="V38" s="90" t="s">
        <v>178</v>
      </c>
      <c r="W38" s="90" t="s">
        <v>178</v>
      </c>
      <c r="X38" s="90" t="s">
        <v>178</v>
      </c>
      <c r="Y38" s="90"/>
    </row>
    <row r="39" spans="1:25" ht="105.6" x14ac:dyDescent="0.3">
      <c r="A39" s="90" t="s">
        <v>582</v>
      </c>
      <c r="B39" s="174">
        <v>5177</v>
      </c>
      <c r="C39" s="90" t="s">
        <v>635</v>
      </c>
      <c r="D39" s="90" t="s">
        <v>722</v>
      </c>
      <c r="E39" s="90" t="s">
        <v>636</v>
      </c>
      <c r="F39" s="90" t="s">
        <v>602</v>
      </c>
      <c r="G39" s="90" t="s">
        <v>603</v>
      </c>
      <c r="H39" s="90" t="s">
        <v>12</v>
      </c>
      <c r="I39" s="90" t="s">
        <v>118</v>
      </c>
      <c r="J39" s="90" t="s">
        <v>399</v>
      </c>
      <c r="K39" s="90" t="s">
        <v>178</v>
      </c>
      <c r="L39" s="90" t="s">
        <v>178</v>
      </c>
      <c r="M39" s="90" t="s">
        <v>178</v>
      </c>
      <c r="N39" s="90" t="s">
        <v>763</v>
      </c>
      <c r="O39" s="90" t="s">
        <v>178</v>
      </c>
      <c r="P39" s="90" t="s">
        <v>399</v>
      </c>
      <c r="Q39" s="90" t="s">
        <v>178</v>
      </c>
      <c r="R39" s="90" t="s">
        <v>635</v>
      </c>
      <c r="S39" s="90" t="s">
        <v>399</v>
      </c>
      <c r="T39" s="90" t="s">
        <v>178</v>
      </c>
      <c r="U39" s="117" t="s">
        <v>178</v>
      </c>
      <c r="V39" s="90" t="s">
        <v>399</v>
      </c>
      <c r="W39" s="90" t="s">
        <v>399</v>
      </c>
      <c r="X39" s="90" t="s">
        <v>178</v>
      </c>
      <c r="Y39" s="90"/>
    </row>
    <row r="40" spans="1:25" ht="132" x14ac:dyDescent="0.3">
      <c r="A40" s="90" t="s">
        <v>582</v>
      </c>
      <c r="B40" s="174">
        <v>5178</v>
      </c>
      <c r="C40" s="90" t="s">
        <v>635</v>
      </c>
      <c r="D40" s="90" t="s">
        <v>96</v>
      </c>
      <c r="E40" s="90" t="s">
        <v>637</v>
      </c>
      <c r="F40" s="90" t="s">
        <v>605</v>
      </c>
      <c r="G40" s="90" t="s">
        <v>606</v>
      </c>
      <c r="H40" s="90" t="s">
        <v>444</v>
      </c>
      <c r="I40" s="163" t="s">
        <v>118</v>
      </c>
      <c r="J40" s="90" t="s">
        <v>399</v>
      </c>
      <c r="K40" s="90" t="s">
        <v>178</v>
      </c>
      <c r="L40" s="90" t="s">
        <v>178</v>
      </c>
      <c r="M40" s="90" t="s">
        <v>178</v>
      </c>
      <c r="N40" s="90" t="s">
        <v>763</v>
      </c>
      <c r="O40" s="90" t="s">
        <v>178</v>
      </c>
      <c r="P40" s="90" t="s">
        <v>399</v>
      </c>
      <c r="Q40" s="90" t="s">
        <v>178</v>
      </c>
      <c r="R40" s="90" t="s">
        <v>635</v>
      </c>
      <c r="S40" s="90" t="s">
        <v>399</v>
      </c>
      <c r="T40" s="90" t="s">
        <v>178</v>
      </c>
      <c r="U40" s="117" t="s">
        <v>178</v>
      </c>
      <c r="V40" s="90" t="s">
        <v>399</v>
      </c>
      <c r="W40" s="90" t="s">
        <v>399</v>
      </c>
      <c r="X40" s="90" t="s">
        <v>178</v>
      </c>
      <c r="Y40" s="90"/>
    </row>
    <row r="41" spans="1:25" ht="105.6" x14ac:dyDescent="0.3">
      <c r="A41" s="90" t="s">
        <v>582</v>
      </c>
      <c r="B41" s="174">
        <v>5179</v>
      </c>
      <c r="C41" s="90" t="s">
        <v>635</v>
      </c>
      <c r="D41" s="90" t="s">
        <v>178</v>
      </c>
      <c r="E41" s="90" t="s">
        <v>638</v>
      </c>
      <c r="F41" s="90" t="s">
        <v>608</v>
      </c>
      <c r="G41" s="149" t="s">
        <v>926</v>
      </c>
      <c r="H41" s="90" t="s">
        <v>107</v>
      </c>
      <c r="I41" s="163" t="s">
        <v>2</v>
      </c>
      <c r="J41" s="90" t="s">
        <v>399</v>
      </c>
      <c r="K41" s="102" t="s">
        <v>798</v>
      </c>
      <c r="L41" s="90" t="s">
        <v>178</v>
      </c>
      <c r="M41" s="90" t="s">
        <v>178</v>
      </c>
      <c r="N41" s="90" t="s">
        <v>763</v>
      </c>
      <c r="O41" s="90" t="s">
        <v>178</v>
      </c>
      <c r="P41" s="90" t="s">
        <v>399</v>
      </c>
      <c r="Q41" s="90" t="s">
        <v>178</v>
      </c>
      <c r="R41" s="90" t="s">
        <v>635</v>
      </c>
      <c r="S41" s="90" t="s">
        <v>399</v>
      </c>
      <c r="T41" s="90" t="s">
        <v>178</v>
      </c>
      <c r="U41" s="117" t="s">
        <v>178</v>
      </c>
      <c r="V41" s="90" t="s">
        <v>399</v>
      </c>
      <c r="W41" s="90" t="s">
        <v>399</v>
      </c>
      <c r="X41" s="90" t="s">
        <v>178</v>
      </c>
      <c r="Y41" s="90"/>
    </row>
    <row r="42" spans="1:25" ht="158.4" x14ac:dyDescent="0.3">
      <c r="A42" s="90" t="s">
        <v>582</v>
      </c>
      <c r="B42" s="174">
        <v>5180</v>
      </c>
      <c r="C42" s="90" t="s">
        <v>635</v>
      </c>
      <c r="D42" s="90" t="s">
        <v>178</v>
      </c>
      <c r="E42" s="90" t="s">
        <v>639</v>
      </c>
      <c r="F42" s="90" t="s">
        <v>640</v>
      </c>
      <c r="G42" s="90" t="s">
        <v>641</v>
      </c>
      <c r="H42" s="98" t="s">
        <v>480</v>
      </c>
      <c r="I42" s="163" t="s">
        <v>118</v>
      </c>
      <c r="J42" s="90" t="s">
        <v>399</v>
      </c>
      <c r="K42" s="90" t="s">
        <v>178</v>
      </c>
      <c r="L42" s="90" t="s">
        <v>178</v>
      </c>
      <c r="M42" s="90" t="s">
        <v>178</v>
      </c>
      <c r="N42" s="90" t="s">
        <v>763</v>
      </c>
      <c r="O42" s="90" t="s">
        <v>178</v>
      </c>
      <c r="P42" s="90" t="s">
        <v>399</v>
      </c>
      <c r="Q42" s="90" t="s">
        <v>178</v>
      </c>
      <c r="R42" s="90" t="s">
        <v>635</v>
      </c>
      <c r="S42" s="90" t="s">
        <v>399</v>
      </c>
      <c r="T42" s="90" t="s">
        <v>178</v>
      </c>
      <c r="U42" s="117" t="s">
        <v>178</v>
      </c>
      <c r="V42" s="90" t="s">
        <v>399</v>
      </c>
      <c r="W42" s="90" t="s">
        <v>399</v>
      </c>
      <c r="X42" s="90" t="s">
        <v>178</v>
      </c>
      <c r="Y42" s="90"/>
    </row>
    <row r="43" spans="1:25" ht="92.4" x14ac:dyDescent="0.3">
      <c r="A43" s="90" t="s">
        <v>582</v>
      </c>
      <c r="B43" s="174">
        <v>5181</v>
      </c>
      <c r="C43" s="90" t="s">
        <v>635</v>
      </c>
      <c r="D43" s="90" t="s">
        <v>178</v>
      </c>
      <c r="E43" s="90" t="s">
        <v>642</v>
      </c>
      <c r="F43" s="90" t="s">
        <v>613</v>
      </c>
      <c r="G43" s="90" t="s">
        <v>614</v>
      </c>
      <c r="H43" s="98" t="s">
        <v>106</v>
      </c>
      <c r="I43" s="163" t="s">
        <v>1</v>
      </c>
      <c r="J43" s="90" t="s">
        <v>399</v>
      </c>
      <c r="K43" s="90" t="s">
        <v>178</v>
      </c>
      <c r="L43" s="90" t="s">
        <v>178</v>
      </c>
      <c r="M43" s="90" t="s">
        <v>178</v>
      </c>
      <c r="N43" s="90" t="s">
        <v>763</v>
      </c>
      <c r="O43" s="90" t="s">
        <v>178</v>
      </c>
      <c r="P43" s="90" t="s">
        <v>399</v>
      </c>
      <c r="Q43" s="90" t="s">
        <v>178</v>
      </c>
      <c r="R43" s="90" t="s">
        <v>635</v>
      </c>
      <c r="S43" s="90" t="s">
        <v>399</v>
      </c>
      <c r="T43" s="90" t="s">
        <v>178</v>
      </c>
      <c r="U43" s="117" t="s">
        <v>178</v>
      </c>
      <c r="V43" s="90" t="s">
        <v>399</v>
      </c>
      <c r="W43" s="90" t="s">
        <v>399</v>
      </c>
      <c r="X43" s="90" t="s">
        <v>178</v>
      </c>
      <c r="Y43" s="90"/>
    </row>
    <row r="44" spans="1:25" ht="105.6" x14ac:dyDescent="0.3">
      <c r="A44" s="90" t="s">
        <v>582</v>
      </c>
      <c r="B44" s="174">
        <v>5182</v>
      </c>
      <c r="C44" s="90" t="s">
        <v>643</v>
      </c>
      <c r="D44" s="90" t="s">
        <v>722</v>
      </c>
      <c r="E44" s="90" t="s">
        <v>644</v>
      </c>
      <c r="F44" s="90" t="s">
        <v>602</v>
      </c>
      <c r="G44" s="90" t="s">
        <v>603</v>
      </c>
      <c r="H44" s="98" t="s">
        <v>12</v>
      </c>
      <c r="I44" s="90" t="s">
        <v>118</v>
      </c>
      <c r="J44" s="61" t="s">
        <v>950</v>
      </c>
      <c r="K44" s="90" t="s">
        <v>178</v>
      </c>
      <c r="L44" s="90" t="s">
        <v>178</v>
      </c>
      <c r="M44" s="90" t="s">
        <v>178</v>
      </c>
      <c r="N44" s="90" t="s">
        <v>762</v>
      </c>
      <c r="O44" s="90" t="s">
        <v>178</v>
      </c>
      <c r="P44" s="61">
        <v>500</v>
      </c>
      <c r="Q44" s="90" t="s">
        <v>178</v>
      </c>
      <c r="R44" s="90" t="s">
        <v>643</v>
      </c>
      <c r="S44" s="61" t="s">
        <v>974</v>
      </c>
      <c r="T44" s="90" t="s">
        <v>178</v>
      </c>
      <c r="U44" s="117" t="s">
        <v>178</v>
      </c>
      <c r="V44" s="61">
        <v>26.649243999999999</v>
      </c>
      <c r="W44" s="61">
        <v>-81.274416000000002</v>
      </c>
      <c r="X44" s="90" t="s">
        <v>178</v>
      </c>
      <c r="Y44" s="90"/>
    </row>
    <row r="45" spans="1:25" ht="132" x14ac:dyDescent="0.3">
      <c r="A45" s="90" t="s">
        <v>582</v>
      </c>
      <c r="B45" s="174">
        <v>5183</v>
      </c>
      <c r="C45" s="90" t="s">
        <v>643</v>
      </c>
      <c r="D45" s="90" t="s">
        <v>96</v>
      </c>
      <c r="E45" s="90" t="s">
        <v>645</v>
      </c>
      <c r="F45" s="90" t="s">
        <v>605</v>
      </c>
      <c r="G45" s="90" t="s">
        <v>606</v>
      </c>
      <c r="H45" s="90" t="s">
        <v>444</v>
      </c>
      <c r="I45" s="90" t="s">
        <v>118</v>
      </c>
      <c r="J45" s="61" t="s">
        <v>950</v>
      </c>
      <c r="K45" s="90" t="s">
        <v>178</v>
      </c>
      <c r="L45" s="90" t="s">
        <v>178</v>
      </c>
      <c r="M45" s="90" t="s">
        <v>178</v>
      </c>
      <c r="N45" s="90" t="s">
        <v>762</v>
      </c>
      <c r="O45" s="90" t="s">
        <v>178</v>
      </c>
      <c r="P45" s="61">
        <v>1000</v>
      </c>
      <c r="Q45" s="90" t="s">
        <v>178</v>
      </c>
      <c r="R45" s="90" t="s">
        <v>643</v>
      </c>
      <c r="S45" s="61" t="s">
        <v>975</v>
      </c>
      <c r="T45" s="90" t="s">
        <v>178</v>
      </c>
      <c r="U45" s="117" t="s">
        <v>178</v>
      </c>
      <c r="V45" s="61">
        <v>26.649243999999999</v>
      </c>
      <c r="W45" s="61">
        <v>-81.274416000000002</v>
      </c>
      <c r="X45" s="90" t="s">
        <v>178</v>
      </c>
      <c r="Y45" s="90"/>
    </row>
    <row r="46" spans="1:25" ht="105.6" x14ac:dyDescent="0.3">
      <c r="A46" s="90" t="s">
        <v>582</v>
      </c>
      <c r="B46" s="174">
        <v>5184</v>
      </c>
      <c r="C46" s="90" t="s">
        <v>643</v>
      </c>
      <c r="D46" s="90" t="s">
        <v>178</v>
      </c>
      <c r="E46" s="90" t="s">
        <v>646</v>
      </c>
      <c r="F46" s="90" t="s">
        <v>608</v>
      </c>
      <c r="G46" s="149" t="s">
        <v>926</v>
      </c>
      <c r="H46" s="90" t="s">
        <v>107</v>
      </c>
      <c r="I46" s="90" t="s">
        <v>2</v>
      </c>
      <c r="J46" s="61" t="s">
        <v>950</v>
      </c>
      <c r="K46" s="90" t="s">
        <v>798</v>
      </c>
      <c r="L46" s="90" t="s">
        <v>178</v>
      </c>
      <c r="M46" s="90" t="s">
        <v>178</v>
      </c>
      <c r="N46" s="90" t="s">
        <v>762</v>
      </c>
      <c r="O46" s="90" t="s">
        <v>178</v>
      </c>
      <c r="P46" s="61">
        <v>0</v>
      </c>
      <c r="Q46" s="90" t="s">
        <v>178</v>
      </c>
      <c r="R46" s="90" t="s">
        <v>643</v>
      </c>
      <c r="S46" s="149" t="s">
        <v>178</v>
      </c>
      <c r="T46" s="90" t="s">
        <v>178</v>
      </c>
      <c r="U46" s="117" t="s">
        <v>178</v>
      </c>
      <c r="V46" s="61">
        <v>26.657171999999999</v>
      </c>
      <c r="W46" s="61">
        <v>-81.280753000000004</v>
      </c>
      <c r="X46" s="90" t="s">
        <v>178</v>
      </c>
      <c r="Y46" s="90"/>
    </row>
    <row r="47" spans="1:25" ht="158.4" x14ac:dyDescent="0.3">
      <c r="A47" s="90" t="s">
        <v>582</v>
      </c>
      <c r="B47" s="174">
        <v>5185</v>
      </c>
      <c r="C47" s="90" t="s">
        <v>643</v>
      </c>
      <c r="D47" s="90" t="s">
        <v>178</v>
      </c>
      <c r="E47" s="90" t="s">
        <v>647</v>
      </c>
      <c r="F47" s="90" t="s">
        <v>640</v>
      </c>
      <c r="G47" s="90" t="s">
        <v>641</v>
      </c>
      <c r="H47" s="90" t="s">
        <v>480</v>
      </c>
      <c r="I47" s="90" t="s">
        <v>118</v>
      </c>
      <c r="J47" s="61" t="s">
        <v>950</v>
      </c>
      <c r="K47" s="90" t="s">
        <v>178</v>
      </c>
      <c r="L47" s="90" t="s">
        <v>178</v>
      </c>
      <c r="M47" s="90" t="s">
        <v>178</v>
      </c>
      <c r="N47" s="90" t="s">
        <v>762</v>
      </c>
      <c r="O47" s="90" t="s">
        <v>178</v>
      </c>
      <c r="P47" s="61">
        <v>75000</v>
      </c>
      <c r="Q47" s="90" t="s">
        <v>178</v>
      </c>
      <c r="R47" s="90" t="s">
        <v>643</v>
      </c>
      <c r="S47" s="61" t="s">
        <v>979</v>
      </c>
      <c r="T47" s="90" t="s">
        <v>178</v>
      </c>
      <c r="U47" s="117" t="s">
        <v>178</v>
      </c>
      <c r="V47" s="61">
        <v>26.657171999999999</v>
      </c>
      <c r="W47" s="61">
        <v>-81.280753000000004</v>
      </c>
      <c r="X47" s="90" t="s">
        <v>178</v>
      </c>
      <c r="Y47" s="90"/>
    </row>
    <row r="48" spans="1:25" ht="92.4" x14ac:dyDescent="0.3">
      <c r="A48" s="90" t="s">
        <v>582</v>
      </c>
      <c r="B48" s="174">
        <v>5186</v>
      </c>
      <c r="C48" s="90" t="s">
        <v>643</v>
      </c>
      <c r="D48" s="90" t="s">
        <v>178</v>
      </c>
      <c r="E48" s="90" t="s">
        <v>648</v>
      </c>
      <c r="F48" s="90" t="s">
        <v>613</v>
      </c>
      <c r="G48" s="90" t="s">
        <v>614</v>
      </c>
      <c r="H48" s="90" t="s">
        <v>106</v>
      </c>
      <c r="I48" s="90" t="s">
        <v>1</v>
      </c>
      <c r="J48" s="61" t="s">
        <v>950</v>
      </c>
      <c r="K48" s="90" t="s">
        <v>178</v>
      </c>
      <c r="L48" s="90" t="s">
        <v>178</v>
      </c>
      <c r="M48" s="90" t="s">
        <v>178</v>
      </c>
      <c r="N48" s="90" t="s">
        <v>762</v>
      </c>
      <c r="O48" s="90" t="s">
        <v>178</v>
      </c>
      <c r="P48" s="61">
        <v>20000</v>
      </c>
      <c r="Q48" s="90" t="s">
        <v>178</v>
      </c>
      <c r="R48" s="90" t="s">
        <v>643</v>
      </c>
      <c r="S48" s="61" t="s">
        <v>980</v>
      </c>
      <c r="T48" s="90" t="s">
        <v>178</v>
      </c>
      <c r="U48" s="117" t="s">
        <v>178</v>
      </c>
      <c r="V48" s="61">
        <v>26.779836</v>
      </c>
      <c r="W48" s="61">
        <v>-81.233121999999995</v>
      </c>
      <c r="X48" s="90" t="s">
        <v>178</v>
      </c>
      <c r="Y48" s="90"/>
    </row>
    <row r="49" spans="1:25" ht="105.6" x14ac:dyDescent="0.3">
      <c r="A49" s="90" t="s">
        <v>582</v>
      </c>
      <c r="B49" s="174">
        <v>5187</v>
      </c>
      <c r="C49" s="90" t="s">
        <v>649</v>
      </c>
      <c r="D49" s="90" t="s">
        <v>722</v>
      </c>
      <c r="E49" s="90" t="s">
        <v>650</v>
      </c>
      <c r="F49" s="90" t="s">
        <v>602</v>
      </c>
      <c r="G49" s="90" t="s">
        <v>603</v>
      </c>
      <c r="H49" s="90" t="s">
        <v>12</v>
      </c>
      <c r="I49" s="90" t="s">
        <v>118</v>
      </c>
      <c r="J49" s="61" t="s">
        <v>798</v>
      </c>
      <c r="K49" s="90" t="s">
        <v>178</v>
      </c>
      <c r="L49" s="90" t="s">
        <v>178</v>
      </c>
      <c r="M49" s="90" t="s">
        <v>178</v>
      </c>
      <c r="N49" s="90" t="s">
        <v>763</v>
      </c>
      <c r="O49" s="90" t="s">
        <v>178</v>
      </c>
      <c r="P49" s="61">
        <v>500</v>
      </c>
      <c r="Q49" s="90" t="s">
        <v>178</v>
      </c>
      <c r="R49" s="90" t="s">
        <v>649</v>
      </c>
      <c r="S49" s="61" t="s">
        <v>974</v>
      </c>
      <c r="T49" s="90" t="s">
        <v>178</v>
      </c>
      <c r="U49" s="117" t="s">
        <v>178</v>
      </c>
      <c r="V49" s="61">
        <v>26.514897000000001</v>
      </c>
      <c r="W49" s="61">
        <v>-81.454757999999998</v>
      </c>
      <c r="X49" s="90" t="s">
        <v>178</v>
      </c>
      <c r="Y49" s="90"/>
    </row>
    <row r="50" spans="1:25" ht="132" x14ac:dyDescent="0.3">
      <c r="A50" s="90" t="s">
        <v>582</v>
      </c>
      <c r="B50" s="174">
        <v>5188</v>
      </c>
      <c r="C50" s="90" t="s">
        <v>649</v>
      </c>
      <c r="D50" s="90" t="s">
        <v>96</v>
      </c>
      <c r="E50" s="90" t="s">
        <v>651</v>
      </c>
      <c r="F50" s="90" t="s">
        <v>605</v>
      </c>
      <c r="G50" s="90" t="s">
        <v>606</v>
      </c>
      <c r="H50" s="90" t="s">
        <v>444</v>
      </c>
      <c r="I50" s="90" t="s">
        <v>118</v>
      </c>
      <c r="J50" s="61" t="s">
        <v>798</v>
      </c>
      <c r="K50" s="90" t="s">
        <v>178</v>
      </c>
      <c r="L50" s="90" t="s">
        <v>178</v>
      </c>
      <c r="M50" s="90" t="s">
        <v>178</v>
      </c>
      <c r="N50" s="90" t="s">
        <v>763</v>
      </c>
      <c r="O50" s="90" t="s">
        <v>178</v>
      </c>
      <c r="P50" s="61">
        <v>1000</v>
      </c>
      <c r="Q50" s="90" t="s">
        <v>178</v>
      </c>
      <c r="R50" s="90" t="s">
        <v>649</v>
      </c>
      <c r="S50" s="61" t="s">
        <v>975</v>
      </c>
      <c r="T50" s="90" t="s">
        <v>178</v>
      </c>
      <c r="U50" s="117" t="s">
        <v>178</v>
      </c>
      <c r="V50" s="61">
        <v>26.514897000000001</v>
      </c>
      <c r="W50" s="61">
        <v>-81.454757999999998</v>
      </c>
      <c r="X50" s="90" t="s">
        <v>178</v>
      </c>
      <c r="Y50" s="90"/>
    </row>
    <row r="51" spans="1:25" ht="105.6" x14ac:dyDescent="0.3">
      <c r="A51" s="90" t="s">
        <v>582</v>
      </c>
      <c r="B51" s="174">
        <v>5189</v>
      </c>
      <c r="C51" s="90" t="s">
        <v>649</v>
      </c>
      <c r="D51" s="90" t="s">
        <v>178</v>
      </c>
      <c r="E51" s="90" t="s">
        <v>652</v>
      </c>
      <c r="F51" s="90" t="s">
        <v>608</v>
      </c>
      <c r="G51" s="149" t="s">
        <v>926</v>
      </c>
      <c r="H51" s="90" t="s">
        <v>107</v>
      </c>
      <c r="I51" s="90" t="s">
        <v>2</v>
      </c>
      <c r="J51" s="61" t="s">
        <v>798</v>
      </c>
      <c r="K51" s="90" t="s">
        <v>798</v>
      </c>
      <c r="L51" s="90" t="s">
        <v>178</v>
      </c>
      <c r="M51" s="90" t="s">
        <v>178</v>
      </c>
      <c r="N51" s="90" t="s">
        <v>763</v>
      </c>
      <c r="O51" s="90" t="s">
        <v>178</v>
      </c>
      <c r="P51" s="61">
        <v>0</v>
      </c>
      <c r="Q51" s="90" t="s">
        <v>178</v>
      </c>
      <c r="R51" s="90" t="s">
        <v>649</v>
      </c>
      <c r="S51" s="149" t="s">
        <v>178</v>
      </c>
      <c r="T51" s="90" t="s">
        <v>178</v>
      </c>
      <c r="U51" s="117" t="s">
        <v>178</v>
      </c>
      <c r="V51" s="61">
        <v>26.531366999999999</v>
      </c>
      <c r="W51" s="61">
        <v>-81.46105</v>
      </c>
      <c r="X51" s="90" t="s">
        <v>178</v>
      </c>
      <c r="Y51" s="90"/>
    </row>
    <row r="52" spans="1:25" ht="171.6" x14ac:dyDescent="0.3">
      <c r="A52" s="90" t="s">
        <v>582</v>
      </c>
      <c r="B52" s="174">
        <v>5190</v>
      </c>
      <c r="C52" s="90" t="s">
        <v>649</v>
      </c>
      <c r="D52" s="90" t="s">
        <v>178</v>
      </c>
      <c r="E52" s="90" t="s">
        <v>653</v>
      </c>
      <c r="F52" s="90" t="s">
        <v>610</v>
      </c>
      <c r="G52" s="90" t="s">
        <v>611</v>
      </c>
      <c r="H52" s="90" t="s">
        <v>492</v>
      </c>
      <c r="I52" s="90" t="s">
        <v>118</v>
      </c>
      <c r="J52" s="61" t="s">
        <v>798</v>
      </c>
      <c r="K52" s="90" t="s">
        <v>178</v>
      </c>
      <c r="L52" s="90" t="s">
        <v>178</v>
      </c>
      <c r="M52" s="90" t="s">
        <v>178</v>
      </c>
      <c r="N52" s="90" t="s">
        <v>763</v>
      </c>
      <c r="O52" s="90" t="s">
        <v>178</v>
      </c>
      <c r="P52" s="61">
        <v>13000</v>
      </c>
      <c r="Q52" s="90" t="s">
        <v>178</v>
      </c>
      <c r="R52" s="90" t="s">
        <v>649</v>
      </c>
      <c r="S52" s="61" t="s">
        <v>981</v>
      </c>
      <c r="T52" s="90" t="s">
        <v>178</v>
      </c>
      <c r="U52" s="117" t="s">
        <v>178</v>
      </c>
      <c r="V52" s="90">
        <v>26.53136722</v>
      </c>
      <c r="W52" s="90">
        <v>-81.461050400000005</v>
      </c>
      <c r="X52" s="90" t="s">
        <v>178</v>
      </c>
      <c r="Y52" s="90"/>
    </row>
    <row r="53" spans="1:25" ht="92.4" x14ac:dyDescent="0.3">
      <c r="A53" s="90" t="s">
        <v>582</v>
      </c>
      <c r="B53" s="174">
        <v>5191</v>
      </c>
      <c r="C53" s="90" t="s">
        <v>649</v>
      </c>
      <c r="D53" s="90" t="s">
        <v>178</v>
      </c>
      <c r="E53" s="90" t="s">
        <v>654</v>
      </c>
      <c r="F53" s="90" t="s">
        <v>613</v>
      </c>
      <c r="G53" s="90" t="s">
        <v>614</v>
      </c>
      <c r="H53" s="90" t="s">
        <v>106</v>
      </c>
      <c r="I53" s="90" t="s">
        <v>1</v>
      </c>
      <c r="J53" s="61" t="s">
        <v>798</v>
      </c>
      <c r="K53" s="90" t="s">
        <v>178</v>
      </c>
      <c r="L53" s="90" t="s">
        <v>178</v>
      </c>
      <c r="M53" s="90" t="s">
        <v>178</v>
      </c>
      <c r="N53" s="90" t="s">
        <v>763</v>
      </c>
      <c r="O53" s="90" t="s">
        <v>178</v>
      </c>
      <c r="P53" s="61">
        <v>2500</v>
      </c>
      <c r="Q53" s="90" t="s">
        <v>178</v>
      </c>
      <c r="R53" s="90" t="s">
        <v>649</v>
      </c>
      <c r="S53" s="61" t="s">
        <v>982</v>
      </c>
      <c r="T53" s="90" t="s">
        <v>178</v>
      </c>
      <c r="U53" s="117" t="s">
        <v>178</v>
      </c>
      <c r="V53" s="61">
        <v>26.573</v>
      </c>
      <c r="W53" s="61">
        <v>-81.465186000000003</v>
      </c>
      <c r="X53" s="90" t="s">
        <v>178</v>
      </c>
      <c r="Y53" s="90"/>
    </row>
    <row r="54" spans="1:25" ht="184.8" x14ac:dyDescent="0.3">
      <c r="A54" s="90" t="s">
        <v>582</v>
      </c>
      <c r="B54" s="174">
        <v>4841</v>
      </c>
      <c r="C54" s="90" t="s">
        <v>546</v>
      </c>
      <c r="D54" s="149" t="s">
        <v>178</v>
      </c>
      <c r="E54" s="90" t="s">
        <v>547</v>
      </c>
      <c r="F54" s="90" t="s">
        <v>548</v>
      </c>
      <c r="G54" s="149" t="s">
        <v>927</v>
      </c>
      <c r="H54" s="90" t="s">
        <v>12</v>
      </c>
      <c r="I54" s="90" t="s">
        <v>1</v>
      </c>
      <c r="J54" s="61" t="s">
        <v>178</v>
      </c>
      <c r="K54" s="61" t="s">
        <v>178</v>
      </c>
      <c r="L54" s="90">
        <v>194.46640778886223</v>
      </c>
      <c r="M54" s="90">
        <v>29.469053180951033</v>
      </c>
      <c r="N54" s="90" t="s">
        <v>762</v>
      </c>
      <c r="O54" s="61" t="s">
        <v>178</v>
      </c>
      <c r="P54" s="61">
        <v>10000</v>
      </c>
      <c r="Q54" s="61" t="s">
        <v>178</v>
      </c>
      <c r="R54" s="90" t="s">
        <v>549</v>
      </c>
      <c r="S54" s="61" t="s">
        <v>983</v>
      </c>
      <c r="T54" s="61" t="s">
        <v>178</v>
      </c>
      <c r="U54" s="61" t="s">
        <v>178</v>
      </c>
      <c r="V54" s="61">
        <v>26.749203000000001</v>
      </c>
      <c r="W54" s="61">
        <v>-80.934822999999994</v>
      </c>
      <c r="X54" s="90" t="s">
        <v>178</v>
      </c>
      <c r="Y54" s="61" t="s">
        <v>837</v>
      </c>
    </row>
    <row r="55" spans="1:25" ht="39.6" x14ac:dyDescent="0.3">
      <c r="A55" s="90" t="s">
        <v>582</v>
      </c>
      <c r="B55" s="174">
        <v>4842</v>
      </c>
      <c r="C55" s="90" t="s">
        <v>546</v>
      </c>
      <c r="D55" s="149" t="s">
        <v>178</v>
      </c>
      <c r="E55" s="90" t="s">
        <v>550</v>
      </c>
      <c r="F55" s="90" t="s">
        <v>551</v>
      </c>
      <c r="G55" s="149" t="s">
        <v>928</v>
      </c>
      <c r="H55" s="90" t="s">
        <v>3</v>
      </c>
      <c r="I55" s="90" t="s">
        <v>1</v>
      </c>
      <c r="J55" s="61" t="s">
        <v>178</v>
      </c>
      <c r="K55" s="61" t="s">
        <v>178</v>
      </c>
      <c r="L55" s="90">
        <v>74.096807986236243</v>
      </c>
      <c r="M55" s="90">
        <v>45.305250127760701</v>
      </c>
      <c r="N55" s="90" t="s">
        <v>762</v>
      </c>
      <c r="O55" s="61" t="s">
        <v>178</v>
      </c>
      <c r="P55" s="61" t="s">
        <v>178</v>
      </c>
      <c r="Q55" s="61" t="s">
        <v>178</v>
      </c>
      <c r="R55" s="90" t="s">
        <v>549</v>
      </c>
      <c r="S55" s="61" t="s">
        <v>178</v>
      </c>
      <c r="T55" s="61" t="s">
        <v>178</v>
      </c>
      <c r="U55" s="61" t="s">
        <v>178</v>
      </c>
      <c r="V55" s="61">
        <v>26.749203000000001</v>
      </c>
      <c r="W55" s="61">
        <v>-80.934822999999994</v>
      </c>
      <c r="X55" s="90" t="s">
        <v>178</v>
      </c>
      <c r="Y55" s="61" t="s">
        <v>837</v>
      </c>
    </row>
    <row r="56" spans="1:25" ht="66" x14ac:dyDescent="0.3">
      <c r="A56" s="90" t="s">
        <v>582</v>
      </c>
      <c r="B56" s="174">
        <v>4843</v>
      </c>
      <c r="C56" s="90" t="s">
        <v>546</v>
      </c>
      <c r="D56" s="149" t="s">
        <v>178</v>
      </c>
      <c r="E56" s="90" t="s">
        <v>552</v>
      </c>
      <c r="F56" s="90" t="s">
        <v>553</v>
      </c>
      <c r="G56" s="149" t="s">
        <v>929</v>
      </c>
      <c r="H56" s="90" t="s">
        <v>452</v>
      </c>
      <c r="I56" s="90" t="s">
        <v>1</v>
      </c>
      <c r="J56" s="61" t="s">
        <v>178</v>
      </c>
      <c r="K56" s="61" t="s">
        <v>178</v>
      </c>
      <c r="L56" s="90">
        <v>10.460725833350999</v>
      </c>
      <c r="M56" s="90">
        <v>6.7118889078163999</v>
      </c>
      <c r="N56" s="90" t="s">
        <v>762</v>
      </c>
      <c r="O56" s="61" t="s">
        <v>178</v>
      </c>
      <c r="P56" s="61" t="s">
        <v>178</v>
      </c>
      <c r="Q56" s="61" t="s">
        <v>178</v>
      </c>
      <c r="R56" s="90" t="s">
        <v>549</v>
      </c>
      <c r="S56" s="61" t="s">
        <v>178</v>
      </c>
      <c r="T56" s="61" t="s">
        <v>178</v>
      </c>
      <c r="U56" s="61" t="s">
        <v>178</v>
      </c>
      <c r="V56" s="61">
        <v>26.749203000000001</v>
      </c>
      <c r="W56" s="61">
        <v>-80.934822999999994</v>
      </c>
      <c r="X56" s="90" t="s">
        <v>178</v>
      </c>
      <c r="Y56" s="61" t="s">
        <v>837</v>
      </c>
    </row>
    <row r="57" spans="1:25" ht="105.6" x14ac:dyDescent="0.3">
      <c r="A57" s="90" t="s">
        <v>582</v>
      </c>
      <c r="B57" s="174">
        <v>5192</v>
      </c>
      <c r="C57" s="90" t="s">
        <v>655</v>
      </c>
      <c r="D57" s="90" t="s">
        <v>722</v>
      </c>
      <c r="E57" s="90" t="s">
        <v>656</v>
      </c>
      <c r="F57" s="90" t="s">
        <v>602</v>
      </c>
      <c r="G57" s="90" t="s">
        <v>603</v>
      </c>
      <c r="H57" s="90" t="s">
        <v>12</v>
      </c>
      <c r="I57" s="90" t="s">
        <v>118</v>
      </c>
      <c r="J57" s="61" t="s">
        <v>798</v>
      </c>
      <c r="K57" s="90" t="s">
        <v>178</v>
      </c>
      <c r="L57" s="90" t="s">
        <v>178</v>
      </c>
      <c r="M57" s="90" t="s">
        <v>178</v>
      </c>
      <c r="N57" s="90" t="s">
        <v>763</v>
      </c>
      <c r="O57" s="90" t="s">
        <v>178</v>
      </c>
      <c r="P57" s="61">
        <v>500</v>
      </c>
      <c r="Q57" s="90" t="s">
        <v>178</v>
      </c>
      <c r="R57" s="90" t="s">
        <v>655</v>
      </c>
      <c r="S57" s="61" t="s">
        <v>974</v>
      </c>
      <c r="T57" s="90" t="s">
        <v>178</v>
      </c>
      <c r="U57" s="117" t="s">
        <v>178</v>
      </c>
      <c r="V57" s="61">
        <v>26.594802999999999</v>
      </c>
      <c r="W57" s="61">
        <v>-81.232530999999994</v>
      </c>
      <c r="X57" s="90" t="s">
        <v>178</v>
      </c>
      <c r="Y57" s="90"/>
    </row>
    <row r="58" spans="1:25" ht="132" x14ac:dyDescent="0.3">
      <c r="A58" s="90" t="s">
        <v>582</v>
      </c>
      <c r="B58" s="174">
        <v>5193</v>
      </c>
      <c r="C58" s="90" t="s">
        <v>655</v>
      </c>
      <c r="D58" s="90" t="s">
        <v>96</v>
      </c>
      <c r="E58" s="90" t="s">
        <v>657</v>
      </c>
      <c r="F58" s="90" t="s">
        <v>605</v>
      </c>
      <c r="G58" s="90" t="s">
        <v>606</v>
      </c>
      <c r="H58" s="90" t="s">
        <v>444</v>
      </c>
      <c r="I58" s="90" t="s">
        <v>118</v>
      </c>
      <c r="J58" s="61" t="s">
        <v>798</v>
      </c>
      <c r="K58" s="90" t="s">
        <v>178</v>
      </c>
      <c r="L58" s="90" t="s">
        <v>178</v>
      </c>
      <c r="M58" s="90" t="s">
        <v>178</v>
      </c>
      <c r="N58" s="90" t="s">
        <v>763</v>
      </c>
      <c r="O58" s="90" t="s">
        <v>178</v>
      </c>
      <c r="P58" s="61">
        <v>1000</v>
      </c>
      <c r="Q58" s="90" t="s">
        <v>178</v>
      </c>
      <c r="R58" s="90" t="s">
        <v>655</v>
      </c>
      <c r="S58" s="61" t="s">
        <v>975</v>
      </c>
      <c r="T58" s="90" t="s">
        <v>178</v>
      </c>
      <c r="U58" s="117" t="s">
        <v>178</v>
      </c>
      <c r="V58" s="61">
        <v>26.594802999999999</v>
      </c>
      <c r="W58" s="61">
        <v>-81.232530999999994</v>
      </c>
      <c r="X58" s="90" t="s">
        <v>178</v>
      </c>
      <c r="Y58" s="90"/>
    </row>
    <row r="59" spans="1:25" ht="105.6" x14ac:dyDescent="0.3">
      <c r="A59" s="90" t="s">
        <v>582</v>
      </c>
      <c r="B59" s="174">
        <v>5194</v>
      </c>
      <c r="C59" s="90" t="s">
        <v>655</v>
      </c>
      <c r="D59" s="90" t="s">
        <v>178</v>
      </c>
      <c r="E59" s="90" t="s">
        <v>658</v>
      </c>
      <c r="F59" s="90" t="s">
        <v>608</v>
      </c>
      <c r="G59" s="149" t="s">
        <v>926</v>
      </c>
      <c r="H59" s="90" t="s">
        <v>107</v>
      </c>
      <c r="I59" s="90" t="s">
        <v>2</v>
      </c>
      <c r="J59" s="61" t="s">
        <v>798</v>
      </c>
      <c r="K59" s="90" t="s">
        <v>798</v>
      </c>
      <c r="L59" s="90" t="s">
        <v>178</v>
      </c>
      <c r="M59" s="90" t="s">
        <v>178</v>
      </c>
      <c r="N59" s="90" t="s">
        <v>763</v>
      </c>
      <c r="O59" s="90" t="s">
        <v>178</v>
      </c>
      <c r="P59" s="61">
        <v>0</v>
      </c>
      <c r="Q59" s="90" t="s">
        <v>178</v>
      </c>
      <c r="R59" s="90" t="s">
        <v>655</v>
      </c>
      <c r="S59" s="149" t="s">
        <v>178</v>
      </c>
      <c r="T59" s="90" t="s">
        <v>178</v>
      </c>
      <c r="U59" s="117" t="s">
        <v>178</v>
      </c>
      <c r="V59" s="61">
        <v>26.625883000000002</v>
      </c>
      <c r="W59" s="61">
        <v>-81.236528000000007</v>
      </c>
      <c r="X59" s="90" t="s">
        <v>178</v>
      </c>
      <c r="Y59" s="90"/>
    </row>
    <row r="60" spans="1:25" ht="158.4" x14ac:dyDescent="0.3">
      <c r="A60" s="90" t="s">
        <v>582</v>
      </c>
      <c r="B60" s="174">
        <v>5195</v>
      </c>
      <c r="C60" s="90" t="s">
        <v>655</v>
      </c>
      <c r="D60" s="90" t="s">
        <v>178</v>
      </c>
      <c r="E60" s="90" t="s">
        <v>659</v>
      </c>
      <c r="F60" s="90" t="s">
        <v>640</v>
      </c>
      <c r="G60" s="90" t="s">
        <v>641</v>
      </c>
      <c r="H60" s="90" t="s">
        <v>480</v>
      </c>
      <c r="I60" s="90" t="s">
        <v>118</v>
      </c>
      <c r="J60" s="61" t="s">
        <v>798</v>
      </c>
      <c r="K60" s="90" t="s">
        <v>178</v>
      </c>
      <c r="L60" s="90" t="s">
        <v>178</v>
      </c>
      <c r="M60" s="90" t="s">
        <v>178</v>
      </c>
      <c r="N60" s="90" t="s">
        <v>763</v>
      </c>
      <c r="O60" s="90" t="s">
        <v>178</v>
      </c>
      <c r="P60" s="61">
        <v>75000</v>
      </c>
      <c r="Q60" s="90" t="s">
        <v>178</v>
      </c>
      <c r="R60" s="90" t="s">
        <v>655</v>
      </c>
      <c r="S60" s="61" t="s">
        <v>979</v>
      </c>
      <c r="T60" s="90" t="s">
        <v>178</v>
      </c>
      <c r="U60" s="117" t="s">
        <v>178</v>
      </c>
      <c r="V60" s="61">
        <v>26.625883000000002</v>
      </c>
      <c r="W60" s="61">
        <v>-81.236528000000007</v>
      </c>
      <c r="X60" s="90" t="s">
        <v>178</v>
      </c>
      <c r="Y60" s="90"/>
    </row>
    <row r="61" spans="1:25" ht="92.4" x14ac:dyDescent="0.3">
      <c r="A61" s="90" t="s">
        <v>582</v>
      </c>
      <c r="B61" s="174">
        <v>5196</v>
      </c>
      <c r="C61" s="90" t="s">
        <v>655</v>
      </c>
      <c r="D61" s="90" t="s">
        <v>178</v>
      </c>
      <c r="E61" s="90" t="s">
        <v>660</v>
      </c>
      <c r="F61" s="90" t="s">
        <v>613</v>
      </c>
      <c r="G61" s="90" t="s">
        <v>614</v>
      </c>
      <c r="H61" s="90" t="s">
        <v>106</v>
      </c>
      <c r="I61" s="90" t="s">
        <v>1</v>
      </c>
      <c r="J61" s="61" t="s">
        <v>950</v>
      </c>
      <c r="K61" s="90" t="s">
        <v>178</v>
      </c>
      <c r="L61" s="90" t="s">
        <v>178</v>
      </c>
      <c r="M61" s="90" t="s">
        <v>178</v>
      </c>
      <c r="N61" s="90" t="s">
        <v>763</v>
      </c>
      <c r="O61" s="90" t="s">
        <v>178</v>
      </c>
      <c r="P61" s="61">
        <v>20000</v>
      </c>
      <c r="Q61" s="90" t="s">
        <v>178</v>
      </c>
      <c r="R61" s="90" t="s">
        <v>655</v>
      </c>
      <c r="S61" s="61" t="s">
        <v>980</v>
      </c>
      <c r="T61" s="90" t="s">
        <v>178</v>
      </c>
      <c r="U61" s="117" t="s">
        <v>178</v>
      </c>
      <c r="V61" s="61">
        <v>26.779793999999999</v>
      </c>
      <c r="W61" s="61">
        <v>-81.233103</v>
      </c>
      <c r="X61" s="90" t="s">
        <v>178</v>
      </c>
      <c r="Y61" s="90"/>
    </row>
    <row r="62" spans="1:25" ht="105.6" x14ac:dyDescent="0.3">
      <c r="A62" s="90" t="s">
        <v>582</v>
      </c>
      <c r="B62" s="174">
        <v>5197</v>
      </c>
      <c r="C62" s="90" t="s">
        <v>661</v>
      </c>
      <c r="D62" s="90" t="s">
        <v>722</v>
      </c>
      <c r="E62" s="90" t="s">
        <v>662</v>
      </c>
      <c r="F62" s="90" t="s">
        <v>602</v>
      </c>
      <c r="G62" s="90" t="s">
        <v>603</v>
      </c>
      <c r="H62" s="90" t="s">
        <v>12</v>
      </c>
      <c r="I62" s="90" t="s">
        <v>118</v>
      </c>
      <c r="J62" s="61" t="s">
        <v>950</v>
      </c>
      <c r="K62" s="90" t="s">
        <v>178</v>
      </c>
      <c r="L62" s="90" t="s">
        <v>178</v>
      </c>
      <c r="M62" s="90" t="s">
        <v>178</v>
      </c>
      <c r="N62" s="90" t="s">
        <v>762</v>
      </c>
      <c r="O62" s="90" t="s">
        <v>178</v>
      </c>
      <c r="P62" s="61">
        <v>500</v>
      </c>
      <c r="Q62" s="90" t="s">
        <v>178</v>
      </c>
      <c r="R62" s="90" t="s">
        <v>661</v>
      </c>
      <c r="S62" s="61" t="s">
        <v>974</v>
      </c>
      <c r="T62" s="90" t="s">
        <v>178</v>
      </c>
      <c r="U62" s="117" t="s">
        <v>178</v>
      </c>
      <c r="V62" s="61">
        <v>27.789338999999998</v>
      </c>
      <c r="W62" s="61">
        <v>-81.032527999999999</v>
      </c>
      <c r="X62" s="90" t="s">
        <v>178</v>
      </c>
      <c r="Y62" s="90"/>
    </row>
    <row r="63" spans="1:25" ht="132" x14ac:dyDescent="0.3">
      <c r="A63" s="90" t="s">
        <v>582</v>
      </c>
      <c r="B63" s="174">
        <v>5198</v>
      </c>
      <c r="C63" s="90" t="s">
        <v>661</v>
      </c>
      <c r="D63" s="90" t="s">
        <v>96</v>
      </c>
      <c r="E63" s="90" t="s">
        <v>663</v>
      </c>
      <c r="F63" s="90" t="s">
        <v>605</v>
      </c>
      <c r="G63" s="90" t="s">
        <v>606</v>
      </c>
      <c r="H63" s="90" t="s">
        <v>444</v>
      </c>
      <c r="I63" s="90" t="s">
        <v>118</v>
      </c>
      <c r="J63" s="61" t="s">
        <v>798</v>
      </c>
      <c r="K63" s="90" t="s">
        <v>178</v>
      </c>
      <c r="L63" s="90" t="s">
        <v>178</v>
      </c>
      <c r="M63" s="90" t="s">
        <v>178</v>
      </c>
      <c r="N63" s="90" t="s">
        <v>762</v>
      </c>
      <c r="O63" s="90" t="s">
        <v>178</v>
      </c>
      <c r="P63" s="61">
        <v>1000</v>
      </c>
      <c r="Q63" s="90" t="s">
        <v>178</v>
      </c>
      <c r="R63" s="90" t="s">
        <v>661</v>
      </c>
      <c r="S63" s="61" t="s">
        <v>975</v>
      </c>
      <c r="T63" s="90" t="s">
        <v>178</v>
      </c>
      <c r="U63" s="117" t="s">
        <v>178</v>
      </c>
      <c r="V63" s="61">
        <v>27.789338999999998</v>
      </c>
      <c r="W63" s="61">
        <v>-81.032527999999999</v>
      </c>
      <c r="X63" s="90" t="s">
        <v>178</v>
      </c>
      <c r="Y63" s="90"/>
    </row>
    <row r="64" spans="1:25" ht="105.6" x14ac:dyDescent="0.3">
      <c r="A64" s="90" t="s">
        <v>582</v>
      </c>
      <c r="B64" s="174">
        <v>5199</v>
      </c>
      <c r="C64" s="90" t="s">
        <v>661</v>
      </c>
      <c r="D64" s="90" t="s">
        <v>178</v>
      </c>
      <c r="E64" s="90" t="s">
        <v>664</v>
      </c>
      <c r="F64" s="90" t="s">
        <v>608</v>
      </c>
      <c r="G64" s="149" t="s">
        <v>926</v>
      </c>
      <c r="H64" s="90" t="s">
        <v>107</v>
      </c>
      <c r="I64" s="90" t="s">
        <v>2</v>
      </c>
      <c r="J64" s="61" t="s">
        <v>798</v>
      </c>
      <c r="K64" s="102" t="s">
        <v>798</v>
      </c>
      <c r="L64" s="90" t="s">
        <v>178</v>
      </c>
      <c r="M64" s="90" t="s">
        <v>178</v>
      </c>
      <c r="N64" s="90" t="s">
        <v>762</v>
      </c>
      <c r="O64" s="90" t="s">
        <v>178</v>
      </c>
      <c r="P64" s="61">
        <v>0</v>
      </c>
      <c r="Q64" s="90" t="s">
        <v>178</v>
      </c>
      <c r="R64" s="90" t="s">
        <v>661</v>
      </c>
      <c r="S64" s="149" t="s">
        <v>178</v>
      </c>
      <c r="T64" s="90" t="s">
        <v>178</v>
      </c>
      <c r="U64" s="117" t="s">
        <v>178</v>
      </c>
      <c r="V64" s="61">
        <v>26.791571999999999</v>
      </c>
      <c r="W64" s="61">
        <v>-81.027574999999999</v>
      </c>
      <c r="X64" s="90" t="s">
        <v>178</v>
      </c>
      <c r="Y64" s="90"/>
    </row>
    <row r="65" spans="1:25" ht="145.19999999999999" x14ac:dyDescent="0.3">
      <c r="A65" s="90" t="s">
        <v>582</v>
      </c>
      <c r="B65" s="174">
        <v>5200</v>
      </c>
      <c r="C65" s="90" t="s">
        <v>661</v>
      </c>
      <c r="D65" s="90" t="s">
        <v>178</v>
      </c>
      <c r="E65" s="90" t="s">
        <v>665</v>
      </c>
      <c r="F65" s="90" t="s">
        <v>666</v>
      </c>
      <c r="G65" s="90" t="s">
        <v>667</v>
      </c>
      <c r="H65" s="90" t="s">
        <v>106</v>
      </c>
      <c r="I65" s="90" t="s">
        <v>118</v>
      </c>
      <c r="J65" s="61" t="s">
        <v>950</v>
      </c>
      <c r="K65" s="90" t="s">
        <v>114</v>
      </c>
      <c r="L65" s="90" t="s">
        <v>178</v>
      </c>
      <c r="M65" s="90" t="s">
        <v>178</v>
      </c>
      <c r="N65" s="90" t="s">
        <v>762</v>
      </c>
      <c r="O65" s="90" t="s">
        <v>178</v>
      </c>
      <c r="P65" s="61" t="s">
        <v>114</v>
      </c>
      <c r="Q65" s="90" t="s">
        <v>178</v>
      </c>
      <c r="R65" s="90" t="s">
        <v>661</v>
      </c>
      <c r="S65" s="61" t="s">
        <v>114</v>
      </c>
      <c r="T65" s="90" t="s">
        <v>178</v>
      </c>
      <c r="U65" s="117" t="s">
        <v>178</v>
      </c>
      <c r="V65" s="61">
        <v>26.784144000000001</v>
      </c>
      <c r="W65" s="61">
        <v>-81.037333000000004</v>
      </c>
      <c r="X65" s="90" t="s">
        <v>178</v>
      </c>
      <c r="Y65" s="90"/>
    </row>
    <row r="66" spans="1:25" ht="92.4" x14ac:dyDescent="0.3">
      <c r="A66" s="90" t="s">
        <v>582</v>
      </c>
      <c r="B66" s="174">
        <v>5201</v>
      </c>
      <c r="C66" s="90" t="s">
        <v>661</v>
      </c>
      <c r="D66" s="90" t="s">
        <v>178</v>
      </c>
      <c r="E66" s="90" t="s">
        <v>668</v>
      </c>
      <c r="F66" s="90" t="s">
        <v>613</v>
      </c>
      <c r="G66" s="90" t="s">
        <v>614</v>
      </c>
      <c r="H66" s="90" t="s">
        <v>106</v>
      </c>
      <c r="I66" s="90" t="s">
        <v>1</v>
      </c>
      <c r="J66" s="61" t="s">
        <v>950</v>
      </c>
      <c r="K66" s="90" t="s">
        <v>178</v>
      </c>
      <c r="L66" s="90" t="s">
        <v>178</v>
      </c>
      <c r="M66" s="90" t="s">
        <v>178</v>
      </c>
      <c r="N66" s="90" t="s">
        <v>762</v>
      </c>
      <c r="O66" s="90" t="s">
        <v>178</v>
      </c>
      <c r="P66" s="61" t="s">
        <v>114</v>
      </c>
      <c r="Q66" s="90" t="s">
        <v>178</v>
      </c>
      <c r="R66" s="90" t="s">
        <v>661</v>
      </c>
      <c r="S66" s="61" t="s">
        <v>114</v>
      </c>
      <c r="T66" s="90" t="s">
        <v>178</v>
      </c>
      <c r="U66" s="117" t="s">
        <v>178</v>
      </c>
      <c r="V66" s="61">
        <v>26.806014000000001</v>
      </c>
      <c r="W66" s="61">
        <v>-81.029964000000007</v>
      </c>
      <c r="X66" s="90" t="s">
        <v>178</v>
      </c>
      <c r="Y66" s="90"/>
    </row>
    <row r="67" spans="1:25" ht="343.2" x14ac:dyDescent="0.3">
      <c r="A67" s="90" t="s">
        <v>582</v>
      </c>
      <c r="B67" s="174">
        <v>2345</v>
      </c>
      <c r="C67" s="90" t="s">
        <v>96</v>
      </c>
      <c r="D67" s="90" t="s">
        <v>554</v>
      </c>
      <c r="E67" s="90" t="s">
        <v>158</v>
      </c>
      <c r="F67" s="90" t="s">
        <v>517</v>
      </c>
      <c r="G67" s="61" t="s">
        <v>910</v>
      </c>
      <c r="H67" s="98" t="s">
        <v>444</v>
      </c>
      <c r="I67" s="90" t="s">
        <v>1</v>
      </c>
      <c r="J67" s="90" t="s">
        <v>178</v>
      </c>
      <c r="K67" s="90" t="s">
        <v>178</v>
      </c>
      <c r="L67" s="61">
        <v>62208</v>
      </c>
      <c r="M67" s="61">
        <v>2295</v>
      </c>
      <c r="N67" s="90" t="s">
        <v>103</v>
      </c>
      <c r="O67" s="61">
        <v>49057.663228099998</v>
      </c>
      <c r="P67" s="90" t="s">
        <v>178</v>
      </c>
      <c r="Q67" s="90" t="s">
        <v>178</v>
      </c>
      <c r="R67" s="90" t="s">
        <v>96</v>
      </c>
      <c r="S67" s="90" t="s">
        <v>114</v>
      </c>
      <c r="T67" s="90" t="s">
        <v>178</v>
      </c>
      <c r="U67" s="117" t="s">
        <v>178</v>
      </c>
      <c r="V67" s="90" t="s">
        <v>178</v>
      </c>
      <c r="W67" s="90" t="s">
        <v>178</v>
      </c>
      <c r="X67" s="90" t="s">
        <v>178</v>
      </c>
      <c r="Y67" s="117" t="s">
        <v>839</v>
      </c>
    </row>
    <row r="68" spans="1:25" ht="343.2" x14ac:dyDescent="0.3">
      <c r="A68" s="90" t="s">
        <v>582</v>
      </c>
      <c r="B68" s="174">
        <v>4844</v>
      </c>
      <c r="C68" s="90" t="s">
        <v>96</v>
      </c>
      <c r="D68" s="90" t="s">
        <v>554</v>
      </c>
      <c r="E68" s="90" t="s">
        <v>555</v>
      </c>
      <c r="F68" s="90" t="s">
        <v>517</v>
      </c>
      <c r="G68" s="61" t="s">
        <v>910</v>
      </c>
      <c r="H68" s="90" t="s">
        <v>444</v>
      </c>
      <c r="I68" s="90" t="s">
        <v>1</v>
      </c>
      <c r="J68" s="61" t="s">
        <v>178</v>
      </c>
      <c r="K68" s="90" t="s">
        <v>178</v>
      </c>
      <c r="L68" s="61">
        <v>178228</v>
      </c>
      <c r="M68" s="61">
        <v>10123</v>
      </c>
      <c r="N68" s="90" t="s">
        <v>763</v>
      </c>
      <c r="O68" s="61">
        <v>149388.42381099999</v>
      </c>
      <c r="P68" s="90" t="s">
        <v>178</v>
      </c>
      <c r="Q68" s="90" t="s">
        <v>178</v>
      </c>
      <c r="R68" s="90" t="s">
        <v>96</v>
      </c>
      <c r="S68" s="90" t="s">
        <v>114</v>
      </c>
      <c r="T68" s="90" t="s">
        <v>178</v>
      </c>
      <c r="U68" s="117" t="s">
        <v>178</v>
      </c>
      <c r="V68" s="164" t="s">
        <v>178</v>
      </c>
      <c r="W68" s="164" t="s">
        <v>178</v>
      </c>
      <c r="X68" s="90" t="s">
        <v>178</v>
      </c>
      <c r="Y68" s="117" t="s">
        <v>839</v>
      </c>
    </row>
    <row r="69" spans="1:25" ht="343.2" x14ac:dyDescent="0.3">
      <c r="A69" s="90" t="s">
        <v>582</v>
      </c>
      <c r="B69" s="174">
        <v>4845</v>
      </c>
      <c r="C69" s="90" t="s">
        <v>96</v>
      </c>
      <c r="D69" s="90" t="s">
        <v>554</v>
      </c>
      <c r="E69" s="90" t="s">
        <v>556</v>
      </c>
      <c r="F69" s="90" t="s">
        <v>517</v>
      </c>
      <c r="G69" s="61" t="s">
        <v>910</v>
      </c>
      <c r="H69" s="90" t="s">
        <v>444</v>
      </c>
      <c r="I69" s="90" t="s">
        <v>1</v>
      </c>
      <c r="J69" s="61" t="s">
        <v>178</v>
      </c>
      <c r="K69" s="90" t="s">
        <v>178</v>
      </c>
      <c r="L69" s="61">
        <v>119099</v>
      </c>
      <c r="M69" s="61">
        <v>5298</v>
      </c>
      <c r="N69" s="90" t="s">
        <v>762</v>
      </c>
      <c r="O69" s="61">
        <v>180103.99406999999</v>
      </c>
      <c r="P69" s="90" t="s">
        <v>178</v>
      </c>
      <c r="Q69" s="90" t="s">
        <v>178</v>
      </c>
      <c r="R69" s="90" t="s">
        <v>96</v>
      </c>
      <c r="S69" s="90" t="s">
        <v>114</v>
      </c>
      <c r="T69" s="90" t="s">
        <v>178</v>
      </c>
      <c r="U69" s="117" t="s">
        <v>178</v>
      </c>
      <c r="V69" s="164" t="s">
        <v>178</v>
      </c>
      <c r="W69" s="164" t="s">
        <v>178</v>
      </c>
      <c r="X69" s="90" t="s">
        <v>178</v>
      </c>
      <c r="Y69" s="117" t="s">
        <v>839</v>
      </c>
    </row>
    <row r="70" spans="1:25" ht="290.39999999999998" x14ac:dyDescent="0.3">
      <c r="A70" s="90" t="s">
        <v>582</v>
      </c>
      <c r="B70" s="174">
        <v>4846</v>
      </c>
      <c r="C70" s="90" t="s">
        <v>96</v>
      </c>
      <c r="D70" s="90" t="s">
        <v>554</v>
      </c>
      <c r="E70" s="90" t="s">
        <v>557</v>
      </c>
      <c r="F70" s="61" t="s">
        <v>909</v>
      </c>
      <c r="G70" s="61" t="s">
        <v>911</v>
      </c>
      <c r="H70" s="90" t="s">
        <v>444</v>
      </c>
      <c r="I70" s="90" t="s">
        <v>1</v>
      </c>
      <c r="J70" s="90" t="s">
        <v>399</v>
      </c>
      <c r="K70" s="90" t="s">
        <v>178</v>
      </c>
      <c r="L70" s="90">
        <v>20202.717250264785</v>
      </c>
      <c r="M70" s="90">
        <v>1254.9082908748187</v>
      </c>
      <c r="N70" s="90" t="s">
        <v>103</v>
      </c>
      <c r="O70" s="61">
        <v>7107</v>
      </c>
      <c r="P70" s="90" t="s">
        <v>114</v>
      </c>
      <c r="Q70" s="90" t="s">
        <v>114</v>
      </c>
      <c r="R70" s="90" t="s">
        <v>114</v>
      </c>
      <c r="S70" s="90" t="s">
        <v>114</v>
      </c>
      <c r="T70" s="90" t="s">
        <v>178</v>
      </c>
      <c r="U70" s="117" t="s">
        <v>178</v>
      </c>
      <c r="V70" s="165" t="s">
        <v>178</v>
      </c>
      <c r="W70" s="165" t="s">
        <v>178</v>
      </c>
      <c r="X70" s="90" t="s">
        <v>178</v>
      </c>
      <c r="Y70" s="117" t="s">
        <v>839</v>
      </c>
    </row>
    <row r="71" spans="1:25" ht="290.39999999999998" x14ac:dyDescent="0.3">
      <c r="A71" s="90" t="s">
        <v>582</v>
      </c>
      <c r="B71" s="174">
        <v>4847</v>
      </c>
      <c r="C71" s="90" t="s">
        <v>96</v>
      </c>
      <c r="D71" s="90" t="s">
        <v>554</v>
      </c>
      <c r="E71" s="90" t="s">
        <v>558</v>
      </c>
      <c r="F71" s="61" t="s">
        <v>909</v>
      </c>
      <c r="G71" s="61" t="s">
        <v>911</v>
      </c>
      <c r="H71" s="90" t="s">
        <v>444</v>
      </c>
      <c r="I71" s="90" t="s">
        <v>1</v>
      </c>
      <c r="J71" s="90" t="s">
        <v>399</v>
      </c>
      <c r="K71" s="90" t="s">
        <v>178</v>
      </c>
      <c r="L71" s="90">
        <v>26873.408849600462</v>
      </c>
      <c r="M71" s="90">
        <v>1556.1792481877096</v>
      </c>
      <c r="N71" s="90" t="s">
        <v>763</v>
      </c>
      <c r="O71" s="61">
        <v>19341</v>
      </c>
      <c r="P71" s="90" t="s">
        <v>114</v>
      </c>
      <c r="Q71" s="90" t="s">
        <v>114</v>
      </c>
      <c r="R71" s="90" t="s">
        <v>114</v>
      </c>
      <c r="S71" s="90" t="s">
        <v>114</v>
      </c>
      <c r="T71" s="90" t="s">
        <v>178</v>
      </c>
      <c r="U71" s="117" t="s">
        <v>178</v>
      </c>
      <c r="V71" s="165" t="s">
        <v>178</v>
      </c>
      <c r="W71" s="165" t="s">
        <v>178</v>
      </c>
      <c r="X71" s="90" t="s">
        <v>178</v>
      </c>
      <c r="Y71" s="117" t="s">
        <v>839</v>
      </c>
    </row>
    <row r="72" spans="1:25" ht="290.39999999999998" x14ac:dyDescent="0.3">
      <c r="A72" s="90" t="s">
        <v>582</v>
      </c>
      <c r="B72" s="174">
        <v>4848</v>
      </c>
      <c r="C72" s="90" t="s">
        <v>96</v>
      </c>
      <c r="D72" s="90" t="s">
        <v>554</v>
      </c>
      <c r="E72" s="90" t="s">
        <v>559</v>
      </c>
      <c r="F72" s="61" t="s">
        <v>909</v>
      </c>
      <c r="G72" s="61" t="s">
        <v>911</v>
      </c>
      <c r="H72" s="90" t="s">
        <v>444</v>
      </c>
      <c r="I72" s="90" t="s">
        <v>1</v>
      </c>
      <c r="J72" s="90" t="s">
        <v>399</v>
      </c>
      <c r="K72" s="90" t="s">
        <v>178</v>
      </c>
      <c r="L72" s="90">
        <v>18469.933197654587</v>
      </c>
      <c r="M72" s="90">
        <v>1069.4887192161029</v>
      </c>
      <c r="N72" s="90" t="s">
        <v>762</v>
      </c>
      <c r="O72" s="61">
        <v>26005</v>
      </c>
      <c r="P72" s="90" t="s">
        <v>114</v>
      </c>
      <c r="Q72" s="90" t="s">
        <v>114</v>
      </c>
      <c r="R72" s="90" t="s">
        <v>114</v>
      </c>
      <c r="S72" s="90" t="s">
        <v>114</v>
      </c>
      <c r="T72" s="90" t="s">
        <v>178</v>
      </c>
      <c r="U72" s="117" t="s">
        <v>178</v>
      </c>
      <c r="V72" s="165" t="s">
        <v>178</v>
      </c>
      <c r="W72" s="165" t="s">
        <v>178</v>
      </c>
      <c r="X72" s="90" t="s">
        <v>178</v>
      </c>
      <c r="Y72" s="117" t="s">
        <v>839</v>
      </c>
    </row>
    <row r="73" spans="1:25" ht="92.4" x14ac:dyDescent="0.3">
      <c r="A73" s="90" t="s">
        <v>582</v>
      </c>
      <c r="B73" s="174">
        <v>2386</v>
      </c>
      <c r="C73" s="90" t="s">
        <v>427</v>
      </c>
      <c r="D73" s="90" t="s">
        <v>178</v>
      </c>
      <c r="E73" s="90" t="s">
        <v>159</v>
      </c>
      <c r="F73" s="90" t="s">
        <v>60</v>
      </c>
      <c r="G73" s="90" t="s">
        <v>363</v>
      </c>
      <c r="H73" s="90" t="s">
        <v>333</v>
      </c>
      <c r="I73" s="90" t="s">
        <v>2</v>
      </c>
      <c r="J73" s="90" t="s">
        <v>956</v>
      </c>
      <c r="K73" s="90" t="s">
        <v>76</v>
      </c>
      <c r="L73" s="90">
        <v>30.788114170129472</v>
      </c>
      <c r="M73" s="90" t="s">
        <v>114</v>
      </c>
      <c r="N73" s="90" t="s">
        <v>103</v>
      </c>
      <c r="O73" s="90">
        <v>2</v>
      </c>
      <c r="P73" s="90" t="s">
        <v>399</v>
      </c>
      <c r="Q73" s="90" t="s">
        <v>399</v>
      </c>
      <c r="R73" s="90" t="s">
        <v>335</v>
      </c>
      <c r="S73" s="90" t="s">
        <v>399</v>
      </c>
      <c r="T73" s="90" t="s">
        <v>178</v>
      </c>
      <c r="U73" s="117" t="s">
        <v>178</v>
      </c>
      <c r="V73" s="90">
        <v>26.711926245000001</v>
      </c>
      <c r="W73" s="90">
        <v>-81.901818973999994</v>
      </c>
      <c r="X73" s="90" t="s">
        <v>178</v>
      </c>
      <c r="Y73" s="90"/>
    </row>
    <row r="74" spans="1:25" ht="92.4" x14ac:dyDescent="0.3">
      <c r="A74" s="90" t="s">
        <v>582</v>
      </c>
      <c r="B74" s="174">
        <v>2384</v>
      </c>
      <c r="C74" s="90" t="s">
        <v>427</v>
      </c>
      <c r="D74" s="90" t="s">
        <v>178</v>
      </c>
      <c r="E74" s="90" t="s">
        <v>160</v>
      </c>
      <c r="F74" s="90" t="s">
        <v>60</v>
      </c>
      <c r="G74" s="90" t="s">
        <v>364</v>
      </c>
      <c r="H74" s="90" t="s">
        <v>333</v>
      </c>
      <c r="I74" s="90" t="s">
        <v>2</v>
      </c>
      <c r="J74" s="90" t="s">
        <v>957</v>
      </c>
      <c r="K74" s="90" t="s">
        <v>76</v>
      </c>
      <c r="L74" s="90">
        <v>3.73189262668236</v>
      </c>
      <c r="M74" s="90" t="s">
        <v>114</v>
      </c>
      <c r="N74" s="90" t="s">
        <v>103</v>
      </c>
      <c r="O74" s="90">
        <v>2</v>
      </c>
      <c r="P74" s="90" t="s">
        <v>399</v>
      </c>
      <c r="Q74" s="90" t="s">
        <v>399</v>
      </c>
      <c r="R74" s="90" t="s">
        <v>335</v>
      </c>
      <c r="S74" s="90" t="s">
        <v>399</v>
      </c>
      <c r="T74" s="90" t="s">
        <v>178</v>
      </c>
      <c r="U74" s="117" t="s">
        <v>178</v>
      </c>
      <c r="V74" s="90">
        <v>26.681941407</v>
      </c>
      <c r="W74" s="90">
        <v>-81.903253814999999</v>
      </c>
      <c r="X74" s="90" t="s">
        <v>178</v>
      </c>
      <c r="Y74" s="90"/>
    </row>
    <row r="75" spans="1:25" ht="92.4" x14ac:dyDescent="0.3">
      <c r="A75" s="90" t="s">
        <v>582</v>
      </c>
      <c r="B75" s="174">
        <v>2343</v>
      </c>
      <c r="C75" s="90" t="s">
        <v>427</v>
      </c>
      <c r="D75" s="90" t="s">
        <v>178</v>
      </c>
      <c r="E75" s="90" t="s">
        <v>161</v>
      </c>
      <c r="F75" s="90" t="s">
        <v>60</v>
      </c>
      <c r="G75" s="90" t="s">
        <v>365</v>
      </c>
      <c r="H75" s="90" t="s">
        <v>333</v>
      </c>
      <c r="I75" s="90" t="s">
        <v>2</v>
      </c>
      <c r="J75" s="90" t="s">
        <v>957</v>
      </c>
      <c r="K75" s="90" t="s">
        <v>76</v>
      </c>
      <c r="L75" s="90">
        <v>3.73189262668236</v>
      </c>
      <c r="M75" s="90" t="s">
        <v>114</v>
      </c>
      <c r="N75" s="90" t="s">
        <v>103</v>
      </c>
      <c r="O75" s="90">
        <v>2</v>
      </c>
      <c r="P75" s="90" t="s">
        <v>399</v>
      </c>
      <c r="Q75" s="90" t="s">
        <v>399</v>
      </c>
      <c r="R75" s="90" t="s">
        <v>335</v>
      </c>
      <c r="S75" s="90" t="s">
        <v>399</v>
      </c>
      <c r="T75" s="90" t="s">
        <v>178</v>
      </c>
      <c r="U75" s="117" t="s">
        <v>178</v>
      </c>
      <c r="V75" s="90">
        <v>26.681789792</v>
      </c>
      <c r="W75" s="90">
        <v>-81.901230369000004</v>
      </c>
      <c r="X75" s="90" t="s">
        <v>178</v>
      </c>
      <c r="Y75" s="90"/>
    </row>
    <row r="76" spans="1:25" ht="79.2" x14ac:dyDescent="0.3">
      <c r="A76" s="90" t="s">
        <v>582</v>
      </c>
      <c r="B76" s="174">
        <v>2364</v>
      </c>
      <c r="C76" s="90" t="s">
        <v>427</v>
      </c>
      <c r="D76" s="90" t="s">
        <v>178</v>
      </c>
      <c r="E76" s="90" t="s">
        <v>162</v>
      </c>
      <c r="F76" s="90" t="s">
        <v>348</v>
      </c>
      <c r="G76" s="90" t="s">
        <v>256</v>
      </c>
      <c r="H76" s="90" t="s">
        <v>107</v>
      </c>
      <c r="I76" s="90" t="s">
        <v>2</v>
      </c>
      <c r="J76" s="90" t="s">
        <v>793</v>
      </c>
      <c r="K76" s="102" t="s">
        <v>793</v>
      </c>
      <c r="L76" s="90">
        <v>1810.9008970976151</v>
      </c>
      <c r="M76" s="90">
        <v>453.83971559779275</v>
      </c>
      <c r="N76" s="90" t="s">
        <v>103</v>
      </c>
      <c r="O76" s="90">
        <v>465</v>
      </c>
      <c r="P76" s="90" t="s">
        <v>399</v>
      </c>
      <c r="Q76" s="90" t="s">
        <v>399</v>
      </c>
      <c r="R76" s="90" t="s">
        <v>335</v>
      </c>
      <c r="S76" s="90" t="s">
        <v>399</v>
      </c>
      <c r="T76" s="90" t="s">
        <v>178</v>
      </c>
      <c r="U76" s="117" t="s">
        <v>178</v>
      </c>
      <c r="V76" s="90" t="s">
        <v>178</v>
      </c>
      <c r="W76" s="90" t="s">
        <v>178</v>
      </c>
      <c r="X76" s="90" t="s">
        <v>178</v>
      </c>
      <c r="Y76" s="90"/>
    </row>
    <row r="77" spans="1:25" ht="66" x14ac:dyDescent="0.3">
      <c r="A77" s="90" t="s">
        <v>582</v>
      </c>
      <c r="B77" s="174">
        <v>2362</v>
      </c>
      <c r="C77" s="90" t="s">
        <v>427</v>
      </c>
      <c r="D77" s="90" t="s">
        <v>178</v>
      </c>
      <c r="E77" s="90" t="s">
        <v>163</v>
      </c>
      <c r="F77" s="90" t="s">
        <v>12</v>
      </c>
      <c r="G77" s="90" t="s">
        <v>87</v>
      </c>
      <c r="H77" s="90" t="s">
        <v>12</v>
      </c>
      <c r="I77" s="90" t="s">
        <v>1</v>
      </c>
      <c r="J77" s="90" t="s">
        <v>793</v>
      </c>
      <c r="K77" s="90" t="s">
        <v>178</v>
      </c>
      <c r="L77" s="90">
        <v>252.90699958457918</v>
      </c>
      <c r="M77" s="90">
        <v>53.670550967361258</v>
      </c>
      <c r="N77" s="90" t="s">
        <v>103</v>
      </c>
      <c r="O77" s="90" t="s">
        <v>178</v>
      </c>
      <c r="P77" s="90" t="s">
        <v>399</v>
      </c>
      <c r="Q77" s="90" t="s">
        <v>399</v>
      </c>
      <c r="R77" s="90" t="s">
        <v>335</v>
      </c>
      <c r="S77" s="90" t="s">
        <v>399</v>
      </c>
      <c r="T77" s="90" t="s">
        <v>178</v>
      </c>
      <c r="U77" s="117" t="s">
        <v>178</v>
      </c>
      <c r="V77" s="90" t="s">
        <v>178</v>
      </c>
      <c r="W77" s="90" t="s">
        <v>178</v>
      </c>
      <c r="X77" s="90" t="s">
        <v>178</v>
      </c>
      <c r="Y77" s="90"/>
    </row>
    <row r="78" spans="1:25" ht="39.6" x14ac:dyDescent="0.3">
      <c r="A78" s="90" t="s">
        <v>582</v>
      </c>
      <c r="B78" s="174">
        <v>2360</v>
      </c>
      <c r="C78" s="90" t="s">
        <v>427</v>
      </c>
      <c r="D78" s="90" t="s">
        <v>178</v>
      </c>
      <c r="E78" s="90" t="s">
        <v>164</v>
      </c>
      <c r="F78" s="90" t="s">
        <v>3</v>
      </c>
      <c r="G78" s="90" t="s">
        <v>177</v>
      </c>
      <c r="H78" s="90" t="s">
        <v>3</v>
      </c>
      <c r="I78" s="90" t="s">
        <v>1</v>
      </c>
      <c r="J78" s="90" t="s">
        <v>958</v>
      </c>
      <c r="K78" s="90" t="s">
        <v>178</v>
      </c>
      <c r="L78" s="166">
        <v>473.01739043198916</v>
      </c>
      <c r="M78" s="90">
        <v>346.22823664161507</v>
      </c>
      <c r="N78" s="90" t="s">
        <v>103</v>
      </c>
      <c r="O78" s="90" t="s">
        <v>178</v>
      </c>
      <c r="P78" s="90" t="s">
        <v>399</v>
      </c>
      <c r="Q78" s="90" t="s">
        <v>399</v>
      </c>
      <c r="R78" s="90" t="s">
        <v>335</v>
      </c>
      <c r="S78" s="90" t="s">
        <v>399</v>
      </c>
      <c r="T78" s="90" t="s">
        <v>178</v>
      </c>
      <c r="U78" s="117" t="s">
        <v>178</v>
      </c>
      <c r="V78" s="90" t="s">
        <v>178</v>
      </c>
      <c r="W78" s="90" t="s">
        <v>178</v>
      </c>
      <c r="X78" s="90" t="s">
        <v>178</v>
      </c>
      <c r="Y78" s="90"/>
    </row>
    <row r="79" spans="1:25" ht="92.4" x14ac:dyDescent="0.3">
      <c r="A79" s="90" t="s">
        <v>582</v>
      </c>
      <c r="B79" s="174">
        <v>2358</v>
      </c>
      <c r="C79" s="90" t="s">
        <v>427</v>
      </c>
      <c r="D79" s="90" t="s">
        <v>178</v>
      </c>
      <c r="E79" s="90" t="s">
        <v>165</v>
      </c>
      <c r="F79" s="90" t="s">
        <v>61</v>
      </c>
      <c r="G79" s="90" t="s">
        <v>402</v>
      </c>
      <c r="H79" s="90" t="s">
        <v>239</v>
      </c>
      <c r="I79" s="90" t="s">
        <v>2</v>
      </c>
      <c r="J79" s="90" t="s">
        <v>959</v>
      </c>
      <c r="K79" s="90" t="s">
        <v>76</v>
      </c>
      <c r="L79" s="90">
        <v>273.36113490448287</v>
      </c>
      <c r="M79" s="90" t="s">
        <v>114</v>
      </c>
      <c r="N79" s="90" t="s">
        <v>103</v>
      </c>
      <c r="O79" s="90">
        <v>56</v>
      </c>
      <c r="P79" s="90" t="s">
        <v>399</v>
      </c>
      <c r="Q79" s="90" t="s">
        <v>399</v>
      </c>
      <c r="R79" s="90" t="s">
        <v>335</v>
      </c>
      <c r="S79" s="90" t="s">
        <v>399</v>
      </c>
      <c r="T79" s="90" t="s">
        <v>178</v>
      </c>
      <c r="U79" s="117" t="s">
        <v>178</v>
      </c>
      <c r="V79" s="90">
        <v>26.689021</v>
      </c>
      <c r="W79" s="90">
        <v>-81.790369999999996</v>
      </c>
      <c r="X79" s="90" t="s">
        <v>178</v>
      </c>
      <c r="Y79" s="90"/>
    </row>
    <row r="80" spans="1:25" ht="92.4" x14ac:dyDescent="0.3">
      <c r="A80" s="90" t="s">
        <v>582</v>
      </c>
      <c r="B80" s="174">
        <v>2280</v>
      </c>
      <c r="C80" s="90" t="s">
        <v>427</v>
      </c>
      <c r="D80" s="90" t="s">
        <v>178</v>
      </c>
      <c r="E80" s="90" t="s">
        <v>166</v>
      </c>
      <c r="F80" s="90" t="s">
        <v>61</v>
      </c>
      <c r="G80" s="149" t="s">
        <v>930</v>
      </c>
      <c r="H80" s="90" t="s">
        <v>239</v>
      </c>
      <c r="I80" s="90" t="s">
        <v>2</v>
      </c>
      <c r="J80" s="90" t="s">
        <v>960</v>
      </c>
      <c r="K80" s="90" t="s">
        <v>76</v>
      </c>
      <c r="L80" s="90">
        <v>179.13084608075329</v>
      </c>
      <c r="M80" s="90" t="s">
        <v>114</v>
      </c>
      <c r="N80" s="90" t="s">
        <v>103</v>
      </c>
      <c r="O80" s="90">
        <v>55</v>
      </c>
      <c r="P80" s="90" t="s">
        <v>399</v>
      </c>
      <c r="Q80" s="90" t="s">
        <v>399</v>
      </c>
      <c r="R80" s="90" t="s">
        <v>335</v>
      </c>
      <c r="S80" s="90" t="s">
        <v>399</v>
      </c>
      <c r="T80" s="90" t="s">
        <v>178</v>
      </c>
      <c r="U80" s="117" t="s">
        <v>178</v>
      </c>
      <c r="V80" s="90">
        <v>26.710180999999999</v>
      </c>
      <c r="W80" s="90">
        <v>-81.719172</v>
      </c>
      <c r="X80" s="90" t="s">
        <v>178</v>
      </c>
      <c r="Y80" s="90"/>
    </row>
    <row r="81" spans="1:25" ht="92.4" x14ac:dyDescent="0.3">
      <c r="A81" s="90" t="s">
        <v>582</v>
      </c>
      <c r="B81" s="174">
        <v>2281</v>
      </c>
      <c r="C81" s="90" t="s">
        <v>427</v>
      </c>
      <c r="D81" s="90" t="s">
        <v>178</v>
      </c>
      <c r="E81" s="90" t="s">
        <v>296</v>
      </c>
      <c r="F81" s="90" t="s">
        <v>61</v>
      </c>
      <c r="G81" s="90" t="s">
        <v>92</v>
      </c>
      <c r="H81" s="90" t="s">
        <v>239</v>
      </c>
      <c r="I81" s="90" t="s">
        <v>2</v>
      </c>
      <c r="J81" s="90" t="s">
        <v>178</v>
      </c>
      <c r="K81" s="90" t="s">
        <v>76</v>
      </c>
      <c r="L81" s="90">
        <v>318.14384642467121</v>
      </c>
      <c r="M81" s="90" t="s">
        <v>114</v>
      </c>
      <c r="N81" s="90" t="s">
        <v>103</v>
      </c>
      <c r="O81" s="90">
        <v>55</v>
      </c>
      <c r="P81" s="90" t="s">
        <v>399</v>
      </c>
      <c r="Q81" s="90" t="s">
        <v>399</v>
      </c>
      <c r="R81" s="90" t="s">
        <v>335</v>
      </c>
      <c r="S81" s="90" t="s">
        <v>399</v>
      </c>
      <c r="T81" s="90" t="s">
        <v>178</v>
      </c>
      <c r="U81" s="117" t="s">
        <v>178</v>
      </c>
      <c r="V81" s="90" t="s">
        <v>178</v>
      </c>
      <c r="W81" s="90" t="s">
        <v>178</v>
      </c>
      <c r="X81" s="90" t="s">
        <v>178</v>
      </c>
      <c r="Y81" s="90"/>
    </row>
    <row r="82" spans="1:25" ht="92.4" x14ac:dyDescent="0.3">
      <c r="A82" s="90" t="s">
        <v>582</v>
      </c>
      <c r="B82" s="174">
        <v>2303</v>
      </c>
      <c r="C82" s="90" t="s">
        <v>427</v>
      </c>
      <c r="D82" s="90" t="s">
        <v>178</v>
      </c>
      <c r="E82" s="90" t="s">
        <v>297</v>
      </c>
      <c r="F82" s="90" t="s">
        <v>276</v>
      </c>
      <c r="G82" s="90" t="s">
        <v>91</v>
      </c>
      <c r="H82" s="90" t="s">
        <v>241</v>
      </c>
      <c r="I82" s="90" t="s">
        <v>2</v>
      </c>
      <c r="J82" s="90" t="s">
        <v>178</v>
      </c>
      <c r="K82" s="90" t="s">
        <v>76</v>
      </c>
      <c r="L82" s="90">
        <v>4617.2841523627503</v>
      </c>
      <c r="M82" s="90" t="s">
        <v>114</v>
      </c>
      <c r="N82" s="90" t="s">
        <v>103</v>
      </c>
      <c r="O82" s="90">
        <v>1353</v>
      </c>
      <c r="P82" s="90" t="s">
        <v>399</v>
      </c>
      <c r="Q82" s="90" t="s">
        <v>399</v>
      </c>
      <c r="R82" s="90" t="s">
        <v>335</v>
      </c>
      <c r="S82" s="90" t="s">
        <v>399</v>
      </c>
      <c r="T82" s="90" t="s">
        <v>178</v>
      </c>
      <c r="U82" s="117" t="s">
        <v>178</v>
      </c>
      <c r="V82" s="90" t="s">
        <v>178</v>
      </c>
      <c r="W82" s="90" t="s">
        <v>178</v>
      </c>
      <c r="X82" s="90" t="s">
        <v>178</v>
      </c>
      <c r="Y82" s="90"/>
    </row>
    <row r="83" spans="1:25" ht="52.8" x14ac:dyDescent="0.3">
      <c r="A83" s="90" t="s">
        <v>582</v>
      </c>
      <c r="B83" s="174">
        <v>2317</v>
      </c>
      <c r="C83" s="90" t="s">
        <v>427</v>
      </c>
      <c r="D83" s="90" t="s">
        <v>178</v>
      </c>
      <c r="E83" s="90" t="s">
        <v>298</v>
      </c>
      <c r="F83" s="90" t="s">
        <v>62</v>
      </c>
      <c r="G83" s="90" t="s">
        <v>366</v>
      </c>
      <c r="H83" s="90" t="s">
        <v>108</v>
      </c>
      <c r="I83" s="90" t="s">
        <v>2</v>
      </c>
      <c r="J83" s="90" t="s">
        <v>961</v>
      </c>
      <c r="K83" s="90" t="s">
        <v>76</v>
      </c>
      <c r="L83" s="90">
        <v>224.84653075761219</v>
      </c>
      <c r="M83" s="90" t="s">
        <v>114</v>
      </c>
      <c r="N83" s="90" t="s">
        <v>103</v>
      </c>
      <c r="O83" s="90">
        <v>14.090909090909092</v>
      </c>
      <c r="P83" s="90" t="s">
        <v>399</v>
      </c>
      <c r="Q83" s="90" t="s">
        <v>399</v>
      </c>
      <c r="R83" s="90" t="s">
        <v>335</v>
      </c>
      <c r="S83" s="90" t="s">
        <v>399</v>
      </c>
      <c r="T83" s="90" t="s">
        <v>178</v>
      </c>
      <c r="U83" s="117" t="s">
        <v>178</v>
      </c>
      <c r="V83" s="90">
        <v>26.671697717000001</v>
      </c>
      <c r="W83" s="90">
        <v>-81.880446504999995</v>
      </c>
      <c r="X83" s="90" t="s">
        <v>178</v>
      </c>
      <c r="Y83" s="90"/>
    </row>
    <row r="84" spans="1:25" ht="52.8" x14ac:dyDescent="0.3">
      <c r="A84" s="90" t="s">
        <v>582</v>
      </c>
      <c r="B84" s="174">
        <v>2305</v>
      </c>
      <c r="C84" s="90" t="s">
        <v>427</v>
      </c>
      <c r="D84" s="90" t="s">
        <v>178</v>
      </c>
      <c r="E84" s="90" t="s">
        <v>299</v>
      </c>
      <c r="F84" s="90" t="s">
        <v>62</v>
      </c>
      <c r="G84" s="90" t="s">
        <v>367</v>
      </c>
      <c r="H84" s="90" t="s">
        <v>108</v>
      </c>
      <c r="I84" s="90" t="s">
        <v>2</v>
      </c>
      <c r="J84" s="90" t="s">
        <v>961</v>
      </c>
      <c r="K84" s="90" t="s">
        <v>76</v>
      </c>
      <c r="L84" s="90">
        <v>224.84653075761219</v>
      </c>
      <c r="M84" s="90" t="s">
        <v>114</v>
      </c>
      <c r="N84" s="90" t="s">
        <v>103</v>
      </c>
      <c r="O84" s="90">
        <v>14.090909090909092</v>
      </c>
      <c r="P84" s="90" t="s">
        <v>399</v>
      </c>
      <c r="Q84" s="90" t="s">
        <v>399</v>
      </c>
      <c r="R84" s="90" t="s">
        <v>335</v>
      </c>
      <c r="S84" s="90" t="s">
        <v>399</v>
      </c>
      <c r="T84" s="90" t="s">
        <v>178</v>
      </c>
      <c r="U84" s="117" t="s">
        <v>178</v>
      </c>
      <c r="V84" s="90">
        <v>26.673893198999998</v>
      </c>
      <c r="W84" s="90">
        <v>-81.881785058999995</v>
      </c>
      <c r="X84" s="90" t="s">
        <v>178</v>
      </c>
      <c r="Y84" s="90"/>
    </row>
    <row r="85" spans="1:25" ht="52.8" x14ac:dyDescent="0.3">
      <c r="A85" s="90" t="s">
        <v>582</v>
      </c>
      <c r="B85" s="174">
        <v>2294</v>
      </c>
      <c r="C85" s="90" t="s">
        <v>427</v>
      </c>
      <c r="D85" s="90" t="s">
        <v>178</v>
      </c>
      <c r="E85" s="90" t="s">
        <v>300</v>
      </c>
      <c r="F85" s="90" t="s">
        <v>62</v>
      </c>
      <c r="G85" s="90" t="s">
        <v>368</v>
      </c>
      <c r="H85" s="90" t="s">
        <v>108</v>
      </c>
      <c r="I85" s="90" t="s">
        <v>2</v>
      </c>
      <c r="J85" s="90" t="s">
        <v>958</v>
      </c>
      <c r="K85" s="90" t="s">
        <v>76</v>
      </c>
      <c r="L85" s="90">
        <v>224.84653075761219</v>
      </c>
      <c r="M85" s="90" t="s">
        <v>114</v>
      </c>
      <c r="N85" s="90" t="s">
        <v>103</v>
      </c>
      <c r="O85" s="90">
        <v>14.090909090909092</v>
      </c>
      <c r="P85" s="90" t="s">
        <v>399</v>
      </c>
      <c r="Q85" s="90" t="s">
        <v>399</v>
      </c>
      <c r="R85" s="90" t="s">
        <v>335</v>
      </c>
      <c r="S85" s="90" t="s">
        <v>399</v>
      </c>
      <c r="T85" s="90" t="s">
        <v>178</v>
      </c>
      <c r="U85" s="117" t="s">
        <v>178</v>
      </c>
      <c r="V85" s="90">
        <v>26.543035991</v>
      </c>
      <c r="W85" s="90">
        <v>-81.915922687999995</v>
      </c>
      <c r="X85" s="90" t="s">
        <v>178</v>
      </c>
      <c r="Y85" s="90"/>
    </row>
    <row r="86" spans="1:25" ht="52.8" x14ac:dyDescent="0.3">
      <c r="A86" s="90" t="s">
        <v>582</v>
      </c>
      <c r="B86" s="174">
        <v>2307</v>
      </c>
      <c r="C86" s="90" t="s">
        <v>427</v>
      </c>
      <c r="D86" s="90" t="s">
        <v>178</v>
      </c>
      <c r="E86" s="90" t="s">
        <v>301</v>
      </c>
      <c r="F86" s="90" t="s">
        <v>62</v>
      </c>
      <c r="G86" s="90" t="s">
        <v>369</v>
      </c>
      <c r="H86" s="90" t="s">
        <v>108</v>
      </c>
      <c r="I86" s="90" t="s">
        <v>2</v>
      </c>
      <c r="J86" s="90" t="s">
        <v>958</v>
      </c>
      <c r="K86" s="90" t="s">
        <v>76</v>
      </c>
      <c r="L86" s="90">
        <v>224.84653075761219</v>
      </c>
      <c r="M86" s="90" t="s">
        <v>114</v>
      </c>
      <c r="N86" s="90" t="s">
        <v>103</v>
      </c>
      <c r="O86" s="90">
        <v>14.090909090909092</v>
      </c>
      <c r="P86" s="90" t="s">
        <v>399</v>
      </c>
      <c r="Q86" s="90" t="s">
        <v>399</v>
      </c>
      <c r="R86" s="90" t="s">
        <v>335</v>
      </c>
      <c r="S86" s="90" t="s">
        <v>399</v>
      </c>
      <c r="T86" s="90" t="s">
        <v>178</v>
      </c>
      <c r="U86" s="117" t="s">
        <v>178</v>
      </c>
      <c r="V86" s="90">
        <v>26.517719459999999</v>
      </c>
      <c r="W86" s="90">
        <v>-81.939988489000001</v>
      </c>
      <c r="X86" s="90" t="s">
        <v>178</v>
      </c>
      <c r="Y86" s="90"/>
    </row>
    <row r="87" spans="1:25" ht="52.8" x14ac:dyDescent="0.3">
      <c r="A87" s="90" t="s">
        <v>582</v>
      </c>
      <c r="B87" s="174">
        <v>2308</v>
      </c>
      <c r="C87" s="90" t="s">
        <v>427</v>
      </c>
      <c r="D87" s="90" t="s">
        <v>178</v>
      </c>
      <c r="E87" s="90" t="s">
        <v>302</v>
      </c>
      <c r="F87" s="90" t="s">
        <v>62</v>
      </c>
      <c r="G87" s="90" t="s">
        <v>370</v>
      </c>
      <c r="H87" s="90" t="s">
        <v>108</v>
      </c>
      <c r="I87" s="90" t="s">
        <v>2</v>
      </c>
      <c r="J87" s="90" t="s">
        <v>958</v>
      </c>
      <c r="K87" s="90" t="s">
        <v>76</v>
      </c>
      <c r="L87" s="90">
        <v>224.84653075761219</v>
      </c>
      <c r="M87" s="90" t="s">
        <v>114</v>
      </c>
      <c r="N87" s="90" t="s">
        <v>103</v>
      </c>
      <c r="O87" s="90">
        <v>14.090909090909092</v>
      </c>
      <c r="P87" s="90" t="s">
        <v>399</v>
      </c>
      <c r="Q87" s="90" t="s">
        <v>399</v>
      </c>
      <c r="R87" s="90" t="s">
        <v>335</v>
      </c>
      <c r="S87" s="90" t="s">
        <v>399</v>
      </c>
      <c r="T87" s="90" t="s">
        <v>178</v>
      </c>
      <c r="U87" s="117" t="s">
        <v>178</v>
      </c>
      <c r="V87" s="90">
        <v>26.525744062000001</v>
      </c>
      <c r="W87" s="90">
        <v>-81.935121139000003</v>
      </c>
      <c r="X87" s="90" t="s">
        <v>178</v>
      </c>
      <c r="Y87" s="90"/>
    </row>
    <row r="88" spans="1:25" ht="52.8" x14ac:dyDescent="0.3">
      <c r="A88" s="90" t="s">
        <v>582</v>
      </c>
      <c r="B88" s="174">
        <v>2309</v>
      </c>
      <c r="C88" s="90" t="s">
        <v>427</v>
      </c>
      <c r="D88" s="90" t="s">
        <v>178</v>
      </c>
      <c r="E88" s="90" t="s">
        <v>303</v>
      </c>
      <c r="F88" s="90" t="s">
        <v>62</v>
      </c>
      <c r="G88" s="90" t="s">
        <v>371</v>
      </c>
      <c r="H88" s="90" t="s">
        <v>108</v>
      </c>
      <c r="I88" s="90" t="s">
        <v>2</v>
      </c>
      <c r="J88" s="90" t="s">
        <v>958</v>
      </c>
      <c r="K88" s="90" t="s">
        <v>76</v>
      </c>
      <c r="L88" s="90">
        <v>224.84653075761219</v>
      </c>
      <c r="M88" s="90" t="s">
        <v>114</v>
      </c>
      <c r="N88" s="90" t="s">
        <v>103</v>
      </c>
      <c r="O88" s="90">
        <v>14.090909090909092</v>
      </c>
      <c r="P88" s="90" t="s">
        <v>399</v>
      </c>
      <c r="Q88" s="90" t="s">
        <v>399</v>
      </c>
      <c r="R88" s="90" t="s">
        <v>335</v>
      </c>
      <c r="S88" s="90" t="s">
        <v>399</v>
      </c>
      <c r="T88" s="90" t="s">
        <v>178</v>
      </c>
      <c r="U88" s="117" t="s">
        <v>178</v>
      </c>
      <c r="V88" s="90">
        <v>26.536900395</v>
      </c>
      <c r="W88" s="90">
        <v>-81.920548275000002</v>
      </c>
      <c r="X88" s="90" t="s">
        <v>178</v>
      </c>
      <c r="Y88" s="90"/>
    </row>
    <row r="89" spans="1:25" ht="52.8" x14ac:dyDescent="0.3">
      <c r="A89" s="90" t="s">
        <v>582</v>
      </c>
      <c r="B89" s="174">
        <v>2310</v>
      </c>
      <c r="C89" s="90" t="s">
        <v>427</v>
      </c>
      <c r="D89" s="90" t="s">
        <v>178</v>
      </c>
      <c r="E89" s="90" t="s">
        <v>304</v>
      </c>
      <c r="F89" s="90" t="s">
        <v>62</v>
      </c>
      <c r="G89" s="90" t="s">
        <v>372</v>
      </c>
      <c r="H89" s="90" t="s">
        <v>108</v>
      </c>
      <c r="I89" s="90" t="s">
        <v>2</v>
      </c>
      <c r="J89" s="90" t="s">
        <v>958</v>
      </c>
      <c r="K89" s="90" t="s">
        <v>76</v>
      </c>
      <c r="L89" s="90">
        <v>224.84653075761219</v>
      </c>
      <c r="M89" s="90" t="s">
        <v>114</v>
      </c>
      <c r="N89" s="90" t="s">
        <v>103</v>
      </c>
      <c r="O89" s="90">
        <v>14.090909090909092</v>
      </c>
      <c r="P89" s="90" t="s">
        <v>399</v>
      </c>
      <c r="Q89" s="90" t="s">
        <v>399</v>
      </c>
      <c r="R89" s="90" t="s">
        <v>335</v>
      </c>
      <c r="S89" s="90" t="s">
        <v>399</v>
      </c>
      <c r="T89" s="90" t="s">
        <v>178</v>
      </c>
      <c r="U89" s="117" t="s">
        <v>178</v>
      </c>
      <c r="V89" s="90">
        <v>26.539337527000001</v>
      </c>
      <c r="W89" s="90">
        <v>-81.917593338000003</v>
      </c>
      <c r="X89" s="90" t="s">
        <v>178</v>
      </c>
      <c r="Y89" s="90"/>
    </row>
    <row r="90" spans="1:25" ht="52.8" x14ac:dyDescent="0.3">
      <c r="A90" s="90" t="s">
        <v>582</v>
      </c>
      <c r="B90" s="174">
        <v>2311</v>
      </c>
      <c r="C90" s="90" t="s">
        <v>427</v>
      </c>
      <c r="D90" s="90" t="s">
        <v>178</v>
      </c>
      <c r="E90" s="90" t="s">
        <v>305</v>
      </c>
      <c r="F90" s="90" t="s">
        <v>62</v>
      </c>
      <c r="G90" s="90" t="s">
        <v>373</v>
      </c>
      <c r="H90" s="90" t="s">
        <v>108</v>
      </c>
      <c r="I90" s="90" t="s">
        <v>2</v>
      </c>
      <c r="J90" s="90" t="s">
        <v>957</v>
      </c>
      <c r="K90" s="90" t="s">
        <v>76</v>
      </c>
      <c r="L90" s="90">
        <v>224.84653075761219</v>
      </c>
      <c r="M90" s="90" t="s">
        <v>114</v>
      </c>
      <c r="N90" s="90" t="s">
        <v>103</v>
      </c>
      <c r="O90" s="90">
        <v>14.090909090909092</v>
      </c>
      <c r="P90" s="90" t="s">
        <v>399</v>
      </c>
      <c r="Q90" s="90" t="s">
        <v>399</v>
      </c>
      <c r="R90" s="90" t="s">
        <v>335</v>
      </c>
      <c r="S90" s="90" t="s">
        <v>399</v>
      </c>
      <c r="T90" s="90" t="s">
        <v>178</v>
      </c>
      <c r="U90" s="117" t="s">
        <v>178</v>
      </c>
      <c r="V90" s="90">
        <v>26.681556330999999</v>
      </c>
      <c r="W90" s="90">
        <v>-81.896776259999996</v>
      </c>
      <c r="X90" s="90" t="s">
        <v>178</v>
      </c>
      <c r="Y90" s="90"/>
    </row>
    <row r="91" spans="1:25" ht="52.8" x14ac:dyDescent="0.3">
      <c r="A91" s="90" t="s">
        <v>582</v>
      </c>
      <c r="B91" s="174">
        <v>2312</v>
      </c>
      <c r="C91" s="90" t="s">
        <v>427</v>
      </c>
      <c r="D91" s="90" t="s">
        <v>178</v>
      </c>
      <c r="E91" s="90" t="s">
        <v>306</v>
      </c>
      <c r="F91" s="90" t="s">
        <v>62</v>
      </c>
      <c r="G91" s="90" t="s">
        <v>374</v>
      </c>
      <c r="H91" s="90" t="s">
        <v>108</v>
      </c>
      <c r="I91" s="90" t="s">
        <v>2</v>
      </c>
      <c r="J91" s="90" t="s">
        <v>958</v>
      </c>
      <c r="K91" s="90" t="s">
        <v>76</v>
      </c>
      <c r="L91" s="90">
        <v>224.84653075761219</v>
      </c>
      <c r="M91" s="90" t="s">
        <v>114</v>
      </c>
      <c r="N91" s="90" t="s">
        <v>103</v>
      </c>
      <c r="O91" s="90">
        <v>14.090909090909092</v>
      </c>
      <c r="P91" s="90" t="s">
        <v>399</v>
      </c>
      <c r="Q91" s="90" t="s">
        <v>399</v>
      </c>
      <c r="R91" s="90" t="s">
        <v>335</v>
      </c>
      <c r="S91" s="90" t="s">
        <v>399</v>
      </c>
      <c r="T91" s="90" t="s">
        <v>178</v>
      </c>
      <c r="U91" s="117" t="s">
        <v>178</v>
      </c>
      <c r="V91" s="90">
        <v>26.689441000999999</v>
      </c>
      <c r="W91" s="90">
        <v>-81.860182258999998</v>
      </c>
      <c r="X91" s="90" t="s">
        <v>178</v>
      </c>
      <c r="Y91" s="90"/>
    </row>
    <row r="92" spans="1:25" ht="52.8" x14ac:dyDescent="0.3">
      <c r="A92" s="90" t="s">
        <v>582</v>
      </c>
      <c r="B92" s="174">
        <v>2313</v>
      </c>
      <c r="C92" s="90" t="s">
        <v>427</v>
      </c>
      <c r="D92" s="90" t="s">
        <v>178</v>
      </c>
      <c r="E92" s="90" t="s">
        <v>307</v>
      </c>
      <c r="F92" s="90" t="s">
        <v>62</v>
      </c>
      <c r="G92" s="90" t="s">
        <v>375</v>
      </c>
      <c r="H92" s="90" t="s">
        <v>108</v>
      </c>
      <c r="I92" s="90" t="s">
        <v>2</v>
      </c>
      <c r="J92" s="90" t="s">
        <v>958</v>
      </c>
      <c r="K92" s="90" t="s">
        <v>76</v>
      </c>
      <c r="L92" s="90">
        <v>224.84653075761219</v>
      </c>
      <c r="M92" s="90" t="s">
        <v>114</v>
      </c>
      <c r="N92" s="90" t="s">
        <v>103</v>
      </c>
      <c r="O92" s="90">
        <v>14.090909090909092</v>
      </c>
      <c r="P92" s="90" t="s">
        <v>399</v>
      </c>
      <c r="Q92" s="90" t="s">
        <v>399</v>
      </c>
      <c r="R92" s="90" t="s">
        <v>335</v>
      </c>
      <c r="S92" s="90" t="s">
        <v>399</v>
      </c>
      <c r="T92" s="90" t="s">
        <v>178</v>
      </c>
      <c r="U92" s="117" t="s">
        <v>178</v>
      </c>
      <c r="V92" s="90">
        <v>26.695392183999999</v>
      </c>
      <c r="W92" s="90">
        <v>-81.854999487000001</v>
      </c>
      <c r="X92" s="90" t="s">
        <v>178</v>
      </c>
      <c r="Y92" s="90"/>
    </row>
    <row r="93" spans="1:25" ht="52.8" x14ac:dyDescent="0.3">
      <c r="A93" s="90" t="s">
        <v>582</v>
      </c>
      <c r="B93" s="174">
        <v>2314</v>
      </c>
      <c r="C93" s="90" t="s">
        <v>427</v>
      </c>
      <c r="D93" s="90" t="s">
        <v>178</v>
      </c>
      <c r="E93" s="90" t="s">
        <v>308</v>
      </c>
      <c r="F93" s="90" t="s">
        <v>62</v>
      </c>
      <c r="G93" s="90" t="s">
        <v>376</v>
      </c>
      <c r="H93" s="90" t="s">
        <v>108</v>
      </c>
      <c r="I93" s="90" t="s">
        <v>2</v>
      </c>
      <c r="J93" s="90" t="s">
        <v>958</v>
      </c>
      <c r="K93" s="90" t="s">
        <v>76</v>
      </c>
      <c r="L93" s="90">
        <v>224.84653075761219</v>
      </c>
      <c r="M93" s="90" t="s">
        <v>114</v>
      </c>
      <c r="N93" s="90" t="s">
        <v>103</v>
      </c>
      <c r="O93" s="90">
        <v>14.090909090909092</v>
      </c>
      <c r="P93" s="90" t="s">
        <v>399</v>
      </c>
      <c r="Q93" s="90" t="s">
        <v>399</v>
      </c>
      <c r="R93" s="90" t="s">
        <v>335</v>
      </c>
      <c r="S93" s="90" t="s">
        <v>399</v>
      </c>
      <c r="T93" s="90" t="s">
        <v>178</v>
      </c>
      <c r="U93" s="117" t="s">
        <v>178</v>
      </c>
      <c r="V93" s="90">
        <v>26.697306871999999</v>
      </c>
      <c r="W93" s="90">
        <v>-81.849894698</v>
      </c>
      <c r="X93" s="90" t="s">
        <v>178</v>
      </c>
      <c r="Y93" s="90"/>
    </row>
    <row r="94" spans="1:25" ht="79.2" x14ac:dyDescent="0.3">
      <c r="A94" s="90" t="s">
        <v>582</v>
      </c>
      <c r="B94" s="174">
        <v>2315</v>
      </c>
      <c r="C94" s="90" t="s">
        <v>427</v>
      </c>
      <c r="D94" s="90" t="s">
        <v>178</v>
      </c>
      <c r="E94" s="90" t="s">
        <v>309</v>
      </c>
      <c r="F94" s="90" t="s">
        <v>504</v>
      </c>
      <c r="G94" s="90" t="s">
        <v>377</v>
      </c>
      <c r="H94" s="90" t="s">
        <v>108</v>
      </c>
      <c r="I94" s="90" t="s">
        <v>2</v>
      </c>
      <c r="J94" s="90" t="s">
        <v>962</v>
      </c>
      <c r="K94" s="90" t="s">
        <v>76</v>
      </c>
      <c r="L94" s="90">
        <v>35.651003505985756</v>
      </c>
      <c r="M94" s="90">
        <v>10.49469663351112</v>
      </c>
      <c r="N94" s="90" t="s">
        <v>103</v>
      </c>
      <c r="O94" s="90">
        <v>20</v>
      </c>
      <c r="P94" s="90" t="s">
        <v>399</v>
      </c>
      <c r="Q94" s="90" t="s">
        <v>399</v>
      </c>
      <c r="R94" s="90" t="s">
        <v>335</v>
      </c>
      <c r="S94" s="90" t="s">
        <v>399</v>
      </c>
      <c r="T94" s="90" t="s">
        <v>178</v>
      </c>
      <c r="U94" s="117" t="s">
        <v>178</v>
      </c>
      <c r="V94" s="90">
        <v>26.701329999999999</v>
      </c>
      <c r="W94" s="90">
        <v>-81.846770000000006</v>
      </c>
      <c r="X94" s="90" t="s">
        <v>178</v>
      </c>
      <c r="Y94" s="90"/>
    </row>
    <row r="95" spans="1:25" ht="79.2" x14ac:dyDescent="0.3">
      <c r="A95" s="90" t="s">
        <v>582</v>
      </c>
      <c r="B95" s="174">
        <v>2316</v>
      </c>
      <c r="C95" s="90" t="s">
        <v>427</v>
      </c>
      <c r="D95" s="90" t="s">
        <v>178</v>
      </c>
      <c r="E95" s="90" t="s">
        <v>310</v>
      </c>
      <c r="F95" s="90" t="s">
        <v>504</v>
      </c>
      <c r="G95" s="90" t="s">
        <v>378</v>
      </c>
      <c r="H95" s="90" t="s">
        <v>108</v>
      </c>
      <c r="I95" s="90" t="s">
        <v>2</v>
      </c>
      <c r="J95" s="90" t="s">
        <v>962</v>
      </c>
      <c r="K95" s="90" t="s">
        <v>76</v>
      </c>
      <c r="L95" s="90">
        <v>43.810534831474435</v>
      </c>
      <c r="M95" s="90">
        <v>12.055807936960472</v>
      </c>
      <c r="N95" s="90" t="s">
        <v>103</v>
      </c>
      <c r="O95" s="90">
        <v>20</v>
      </c>
      <c r="P95" s="90" t="s">
        <v>399</v>
      </c>
      <c r="Q95" s="90" t="s">
        <v>399</v>
      </c>
      <c r="R95" s="90" t="s">
        <v>335</v>
      </c>
      <c r="S95" s="90" t="s">
        <v>399</v>
      </c>
      <c r="T95" s="90" t="s">
        <v>178</v>
      </c>
      <c r="U95" s="117" t="s">
        <v>178</v>
      </c>
      <c r="V95" s="90">
        <v>26.703869439999998</v>
      </c>
      <c r="W95" s="90">
        <v>-81.847222220000006</v>
      </c>
      <c r="X95" s="90" t="s">
        <v>178</v>
      </c>
      <c r="Y95" s="90"/>
    </row>
    <row r="96" spans="1:25" ht="79.2" x14ac:dyDescent="0.3">
      <c r="A96" s="90" t="s">
        <v>582</v>
      </c>
      <c r="B96" s="174">
        <v>2295</v>
      </c>
      <c r="C96" s="90" t="s">
        <v>427</v>
      </c>
      <c r="D96" s="90" t="s">
        <v>178</v>
      </c>
      <c r="E96" s="90" t="s">
        <v>311</v>
      </c>
      <c r="F96" s="90" t="s">
        <v>504</v>
      </c>
      <c r="G96" s="90" t="s">
        <v>379</v>
      </c>
      <c r="H96" s="90" t="s">
        <v>108</v>
      </c>
      <c r="I96" s="90" t="s">
        <v>2</v>
      </c>
      <c r="J96" s="90" t="s">
        <v>962</v>
      </c>
      <c r="K96" s="90" t="s">
        <v>76</v>
      </c>
      <c r="L96" s="90">
        <v>66.746317747412149</v>
      </c>
      <c r="M96" s="90">
        <v>18.070019982309514</v>
      </c>
      <c r="N96" s="90" t="s">
        <v>103</v>
      </c>
      <c r="O96" s="90">
        <v>20</v>
      </c>
      <c r="P96" s="90" t="s">
        <v>399</v>
      </c>
      <c r="Q96" s="90" t="s">
        <v>399</v>
      </c>
      <c r="R96" s="90" t="s">
        <v>335</v>
      </c>
      <c r="S96" s="90" t="s">
        <v>399</v>
      </c>
      <c r="T96" s="90" t="s">
        <v>178</v>
      </c>
      <c r="U96" s="117" t="s">
        <v>178</v>
      </c>
      <c r="V96" s="90">
        <v>26.70881</v>
      </c>
      <c r="W96" s="90">
        <v>-81.837280000000007</v>
      </c>
      <c r="X96" s="90" t="s">
        <v>178</v>
      </c>
      <c r="Y96" s="90"/>
    </row>
    <row r="97" spans="1:25" ht="79.2" x14ac:dyDescent="0.3">
      <c r="A97" s="90" t="s">
        <v>582</v>
      </c>
      <c r="B97" s="174">
        <v>2359</v>
      </c>
      <c r="C97" s="90" t="s">
        <v>427</v>
      </c>
      <c r="D97" s="90" t="s">
        <v>178</v>
      </c>
      <c r="E97" s="90" t="s">
        <v>312</v>
      </c>
      <c r="F97" s="90" t="s">
        <v>504</v>
      </c>
      <c r="G97" s="90" t="s">
        <v>380</v>
      </c>
      <c r="H97" s="90" t="s">
        <v>108</v>
      </c>
      <c r="I97" s="90" t="s">
        <v>2</v>
      </c>
      <c r="J97" s="90" t="s">
        <v>962</v>
      </c>
      <c r="K97" s="90" t="s">
        <v>76</v>
      </c>
      <c r="L97" s="90">
        <v>100.52890256119154</v>
      </c>
      <c r="M97" s="90">
        <v>27.222838529015942</v>
      </c>
      <c r="N97" s="90" t="s">
        <v>103</v>
      </c>
      <c r="O97" s="90">
        <v>20</v>
      </c>
      <c r="P97" s="90" t="s">
        <v>399</v>
      </c>
      <c r="Q97" s="90" t="s">
        <v>399</v>
      </c>
      <c r="R97" s="90" t="s">
        <v>335</v>
      </c>
      <c r="S97" s="90" t="s">
        <v>399</v>
      </c>
      <c r="T97" s="90" t="s">
        <v>178</v>
      </c>
      <c r="U97" s="117" t="s">
        <v>178</v>
      </c>
      <c r="V97" s="90">
        <v>26.71228</v>
      </c>
      <c r="W97" s="90">
        <v>-81.826790000000003</v>
      </c>
      <c r="X97" s="90" t="s">
        <v>178</v>
      </c>
      <c r="Y97" s="90"/>
    </row>
    <row r="98" spans="1:25" ht="145.19999999999999" x14ac:dyDescent="0.3">
      <c r="A98" s="90" t="s">
        <v>582</v>
      </c>
      <c r="B98" s="175">
        <v>4367</v>
      </c>
      <c r="C98" s="90" t="s">
        <v>427</v>
      </c>
      <c r="D98" s="90" t="s">
        <v>178</v>
      </c>
      <c r="E98" s="90" t="s">
        <v>428</v>
      </c>
      <c r="F98" s="90" t="s">
        <v>430</v>
      </c>
      <c r="G98" s="90" t="s">
        <v>796</v>
      </c>
      <c r="H98" s="90" t="s">
        <v>106</v>
      </c>
      <c r="I98" s="90" t="s">
        <v>2</v>
      </c>
      <c r="J98" s="90" t="s">
        <v>399</v>
      </c>
      <c r="K98" s="90" t="s">
        <v>794</v>
      </c>
      <c r="L98" s="90" t="s">
        <v>178</v>
      </c>
      <c r="M98" s="90" t="s">
        <v>178</v>
      </c>
      <c r="N98" s="90" t="s">
        <v>103</v>
      </c>
      <c r="O98" s="90" t="s">
        <v>399</v>
      </c>
      <c r="P98" s="90" t="s">
        <v>399</v>
      </c>
      <c r="Q98" s="90" t="s">
        <v>399</v>
      </c>
      <c r="R98" s="90" t="s">
        <v>432</v>
      </c>
      <c r="S98" s="90" t="s">
        <v>399</v>
      </c>
      <c r="T98" s="90" t="s">
        <v>178</v>
      </c>
      <c r="U98" s="117" t="s">
        <v>178</v>
      </c>
      <c r="V98" s="90">
        <v>26.58864573</v>
      </c>
      <c r="W98" s="90">
        <v>-81.729498280000001</v>
      </c>
      <c r="X98" s="90" t="s">
        <v>178</v>
      </c>
      <c r="Y98" s="90"/>
    </row>
    <row r="99" spans="1:25" ht="118.8" x14ac:dyDescent="0.3">
      <c r="A99" s="90" t="s">
        <v>582</v>
      </c>
      <c r="B99" s="175">
        <v>4368</v>
      </c>
      <c r="C99" s="90" t="s">
        <v>427</v>
      </c>
      <c r="D99" s="90" t="s">
        <v>178</v>
      </c>
      <c r="E99" s="90" t="s">
        <v>429</v>
      </c>
      <c r="F99" s="90" t="s">
        <v>430</v>
      </c>
      <c r="G99" s="90" t="s">
        <v>795</v>
      </c>
      <c r="H99" s="90" t="s">
        <v>431</v>
      </c>
      <c r="I99" s="90" t="s">
        <v>322</v>
      </c>
      <c r="J99" s="61" t="s">
        <v>794</v>
      </c>
      <c r="K99" s="90" t="s">
        <v>798</v>
      </c>
      <c r="L99" s="90" t="s">
        <v>178</v>
      </c>
      <c r="M99" s="90" t="s">
        <v>178</v>
      </c>
      <c r="N99" s="90" t="s">
        <v>103</v>
      </c>
      <c r="O99" s="90" t="s">
        <v>399</v>
      </c>
      <c r="P99" s="90" t="s">
        <v>399</v>
      </c>
      <c r="Q99" s="90" t="s">
        <v>399</v>
      </c>
      <c r="R99" s="90" t="s">
        <v>432</v>
      </c>
      <c r="S99" s="90" t="s">
        <v>399</v>
      </c>
      <c r="T99" s="90" t="s">
        <v>178</v>
      </c>
      <c r="U99" s="117" t="s">
        <v>178</v>
      </c>
      <c r="V99" s="90">
        <v>26.586514600000001</v>
      </c>
      <c r="W99" s="90">
        <v>-81.724697129999996</v>
      </c>
      <c r="X99" s="90" t="s">
        <v>178</v>
      </c>
      <c r="Y99" s="90"/>
    </row>
    <row r="100" spans="1:25" ht="171.6" x14ac:dyDescent="0.3">
      <c r="A100" s="90" t="s">
        <v>582</v>
      </c>
      <c r="B100" s="176">
        <v>4849</v>
      </c>
      <c r="C100" s="95" t="s">
        <v>427</v>
      </c>
      <c r="D100" s="95" t="s">
        <v>178</v>
      </c>
      <c r="E100" s="95" t="s">
        <v>560</v>
      </c>
      <c r="F100" s="95" t="s">
        <v>561</v>
      </c>
      <c r="G100" s="95" t="s">
        <v>797</v>
      </c>
      <c r="H100" s="95" t="s">
        <v>233</v>
      </c>
      <c r="I100" s="95" t="s">
        <v>322</v>
      </c>
      <c r="J100" s="150" t="s">
        <v>860</v>
      </c>
      <c r="K100" s="95" t="s">
        <v>798</v>
      </c>
      <c r="L100" s="95" t="s">
        <v>178</v>
      </c>
      <c r="M100" s="95" t="s">
        <v>178</v>
      </c>
      <c r="N100" s="90" t="s">
        <v>103</v>
      </c>
      <c r="O100" s="95" t="s">
        <v>399</v>
      </c>
      <c r="P100" s="95" t="s">
        <v>399</v>
      </c>
      <c r="Q100" s="95" t="s">
        <v>399</v>
      </c>
      <c r="R100" s="95" t="s">
        <v>562</v>
      </c>
      <c r="S100" s="95" t="s">
        <v>399</v>
      </c>
      <c r="T100" s="95" t="s">
        <v>178</v>
      </c>
      <c r="U100" s="117" t="s">
        <v>178</v>
      </c>
      <c r="V100" s="90">
        <v>26.564174919999999</v>
      </c>
      <c r="W100" s="90">
        <v>-81.67332949</v>
      </c>
      <c r="X100" s="90" t="s">
        <v>178</v>
      </c>
      <c r="Y100" s="95"/>
    </row>
    <row r="101" spans="1:25" ht="118.8" x14ac:dyDescent="0.3">
      <c r="A101" s="90" t="s">
        <v>582</v>
      </c>
      <c r="B101" s="174">
        <v>4850</v>
      </c>
      <c r="C101" s="90" t="s">
        <v>427</v>
      </c>
      <c r="D101" s="90" t="s">
        <v>178</v>
      </c>
      <c r="E101" s="90" t="s">
        <v>563</v>
      </c>
      <c r="F101" s="90" t="s">
        <v>564</v>
      </c>
      <c r="G101" s="90" t="s">
        <v>586</v>
      </c>
      <c r="H101" s="90" t="s">
        <v>108</v>
      </c>
      <c r="I101" s="61" t="s">
        <v>2</v>
      </c>
      <c r="J101" s="61" t="s">
        <v>794</v>
      </c>
      <c r="K101" s="90" t="s">
        <v>798</v>
      </c>
      <c r="L101" s="90" t="s">
        <v>114</v>
      </c>
      <c r="M101" s="90" t="s">
        <v>114</v>
      </c>
      <c r="N101" s="90" t="s">
        <v>763</v>
      </c>
      <c r="O101" s="90" t="s">
        <v>399</v>
      </c>
      <c r="P101" s="90" t="s">
        <v>399</v>
      </c>
      <c r="Q101" s="90" t="s">
        <v>399</v>
      </c>
      <c r="R101" s="90" t="s">
        <v>59</v>
      </c>
      <c r="S101" s="90" t="s">
        <v>399</v>
      </c>
      <c r="T101" s="90" t="s">
        <v>178</v>
      </c>
      <c r="U101" s="117" t="s">
        <v>399</v>
      </c>
      <c r="V101" s="90">
        <v>26.768470499999999</v>
      </c>
      <c r="W101" s="90">
        <v>-81.306359999999998</v>
      </c>
      <c r="X101" s="90" t="s">
        <v>178</v>
      </c>
      <c r="Y101" s="90"/>
    </row>
    <row r="102" spans="1:25" ht="118.8" x14ac:dyDescent="0.3">
      <c r="A102" s="90" t="s">
        <v>582</v>
      </c>
      <c r="B102" s="177">
        <v>4851</v>
      </c>
      <c r="C102" s="98" t="s">
        <v>427</v>
      </c>
      <c r="D102" s="98" t="s">
        <v>178</v>
      </c>
      <c r="E102" s="98" t="s">
        <v>565</v>
      </c>
      <c r="F102" s="98" t="s">
        <v>566</v>
      </c>
      <c r="G102" s="98" t="s">
        <v>586</v>
      </c>
      <c r="H102" s="98" t="s">
        <v>108</v>
      </c>
      <c r="I102" s="98" t="s">
        <v>322</v>
      </c>
      <c r="J102" s="151" t="s">
        <v>949</v>
      </c>
      <c r="K102" s="98" t="s">
        <v>952</v>
      </c>
      <c r="L102" s="98" t="s">
        <v>114</v>
      </c>
      <c r="M102" s="98" t="s">
        <v>114</v>
      </c>
      <c r="N102" s="98" t="s">
        <v>763</v>
      </c>
      <c r="O102" s="98" t="s">
        <v>399</v>
      </c>
      <c r="P102" s="98" t="s">
        <v>399</v>
      </c>
      <c r="Q102" s="98" t="s">
        <v>399</v>
      </c>
      <c r="R102" s="98" t="s">
        <v>59</v>
      </c>
      <c r="S102" s="98" t="s">
        <v>399</v>
      </c>
      <c r="T102" s="98" t="s">
        <v>178</v>
      </c>
      <c r="U102" s="117" t="s">
        <v>178</v>
      </c>
      <c r="V102" s="98">
        <v>26.494457839999999</v>
      </c>
      <c r="W102" s="98">
        <v>-81.469266090000005</v>
      </c>
      <c r="X102" s="90" t="s">
        <v>178</v>
      </c>
      <c r="Y102" s="98"/>
    </row>
    <row r="103" spans="1:25" ht="105.6" x14ac:dyDescent="0.3">
      <c r="A103" s="90" t="s">
        <v>582</v>
      </c>
      <c r="B103" s="174">
        <v>5202</v>
      </c>
      <c r="C103" s="90" t="s">
        <v>427</v>
      </c>
      <c r="D103" s="90" t="s">
        <v>28</v>
      </c>
      <c r="E103" s="90" t="s">
        <v>669</v>
      </c>
      <c r="F103" s="90" t="s">
        <v>670</v>
      </c>
      <c r="G103" s="90" t="s">
        <v>671</v>
      </c>
      <c r="H103" s="90" t="s">
        <v>721</v>
      </c>
      <c r="I103" s="90" t="s">
        <v>2</v>
      </c>
      <c r="J103" s="90" t="s">
        <v>399</v>
      </c>
      <c r="K103" s="102" t="s">
        <v>793</v>
      </c>
      <c r="L103" s="90">
        <v>718.12984314480002</v>
      </c>
      <c r="M103" s="90">
        <v>134.12577845138</v>
      </c>
      <c r="N103" s="98" t="s">
        <v>103</v>
      </c>
      <c r="O103" s="90">
        <v>114.3</v>
      </c>
      <c r="P103" s="154">
        <v>1799539</v>
      </c>
      <c r="Q103" s="154">
        <v>70260</v>
      </c>
      <c r="R103" s="90" t="s">
        <v>338</v>
      </c>
      <c r="S103" s="90" t="s">
        <v>987</v>
      </c>
      <c r="T103" s="90" t="s">
        <v>178</v>
      </c>
      <c r="U103" s="117" t="s">
        <v>399</v>
      </c>
      <c r="V103" s="90">
        <v>26.6350564</v>
      </c>
      <c r="W103" s="90">
        <v>-81.770097980000003</v>
      </c>
      <c r="X103" s="90" t="s">
        <v>178</v>
      </c>
      <c r="Y103" s="90"/>
    </row>
    <row r="104" spans="1:25" ht="105.6" x14ac:dyDescent="0.3">
      <c r="A104" s="90" t="s">
        <v>582</v>
      </c>
      <c r="B104" s="174">
        <v>5203</v>
      </c>
      <c r="C104" s="90" t="s">
        <v>672</v>
      </c>
      <c r="D104" s="90" t="s">
        <v>722</v>
      </c>
      <c r="E104" s="90" t="s">
        <v>673</v>
      </c>
      <c r="F104" s="90" t="s">
        <v>602</v>
      </c>
      <c r="G104" s="90" t="s">
        <v>603</v>
      </c>
      <c r="H104" s="90" t="s">
        <v>12</v>
      </c>
      <c r="I104" s="90" t="s">
        <v>118</v>
      </c>
      <c r="J104" s="61" t="s">
        <v>798</v>
      </c>
      <c r="K104" s="90" t="s">
        <v>178</v>
      </c>
      <c r="L104" s="90" t="s">
        <v>178</v>
      </c>
      <c r="M104" s="90" t="s">
        <v>178</v>
      </c>
      <c r="N104" s="98" t="s">
        <v>762</v>
      </c>
      <c r="O104" s="90" t="s">
        <v>178</v>
      </c>
      <c r="P104" s="155">
        <v>500</v>
      </c>
      <c r="Q104" s="154" t="s">
        <v>178</v>
      </c>
      <c r="R104" s="90" t="s">
        <v>672</v>
      </c>
      <c r="S104" s="61" t="s">
        <v>974</v>
      </c>
      <c r="T104" s="90" t="s">
        <v>178</v>
      </c>
      <c r="U104" s="117" t="s">
        <v>178</v>
      </c>
      <c r="V104" s="61">
        <v>26.709992</v>
      </c>
      <c r="W104" s="61">
        <v>-81.049955999999995</v>
      </c>
      <c r="X104" s="90" t="s">
        <v>178</v>
      </c>
      <c r="Y104" s="90"/>
    </row>
    <row r="105" spans="1:25" ht="132" x14ac:dyDescent="0.3">
      <c r="A105" s="90" t="s">
        <v>582</v>
      </c>
      <c r="B105" s="174">
        <v>5204</v>
      </c>
      <c r="C105" s="90" t="s">
        <v>672</v>
      </c>
      <c r="D105" s="90" t="s">
        <v>96</v>
      </c>
      <c r="E105" s="90" t="s">
        <v>674</v>
      </c>
      <c r="F105" s="90" t="s">
        <v>605</v>
      </c>
      <c r="G105" s="90" t="s">
        <v>606</v>
      </c>
      <c r="H105" s="90" t="s">
        <v>444</v>
      </c>
      <c r="I105" s="90" t="s">
        <v>118</v>
      </c>
      <c r="J105" s="61" t="s">
        <v>798</v>
      </c>
      <c r="K105" s="90" t="s">
        <v>178</v>
      </c>
      <c r="L105" s="90" t="s">
        <v>178</v>
      </c>
      <c r="M105" s="90" t="s">
        <v>178</v>
      </c>
      <c r="N105" s="98" t="s">
        <v>762</v>
      </c>
      <c r="O105" s="90" t="s">
        <v>178</v>
      </c>
      <c r="P105" s="155">
        <v>1000</v>
      </c>
      <c r="Q105" s="154" t="s">
        <v>178</v>
      </c>
      <c r="R105" s="90" t="s">
        <v>672</v>
      </c>
      <c r="S105" s="61" t="s">
        <v>975</v>
      </c>
      <c r="T105" s="90" t="s">
        <v>178</v>
      </c>
      <c r="U105" s="117" t="s">
        <v>178</v>
      </c>
      <c r="V105" s="61">
        <v>26.709992</v>
      </c>
      <c r="W105" s="61">
        <v>-81.049955999999995</v>
      </c>
      <c r="X105" s="90" t="s">
        <v>178</v>
      </c>
      <c r="Y105" s="90"/>
    </row>
    <row r="106" spans="1:25" ht="105.6" x14ac:dyDescent="0.3">
      <c r="A106" s="90" t="s">
        <v>582</v>
      </c>
      <c r="B106" s="174">
        <v>5205</v>
      </c>
      <c r="C106" s="90" t="s">
        <v>672</v>
      </c>
      <c r="D106" s="90" t="s">
        <v>178</v>
      </c>
      <c r="E106" s="90" t="s">
        <v>675</v>
      </c>
      <c r="F106" s="90" t="s">
        <v>608</v>
      </c>
      <c r="G106" s="149" t="s">
        <v>926</v>
      </c>
      <c r="H106" s="90" t="s">
        <v>107</v>
      </c>
      <c r="I106" s="90" t="s">
        <v>2</v>
      </c>
      <c r="J106" s="61" t="s">
        <v>798</v>
      </c>
      <c r="K106" s="102" t="s">
        <v>798</v>
      </c>
      <c r="L106" s="90" t="s">
        <v>178</v>
      </c>
      <c r="M106" s="90" t="s">
        <v>178</v>
      </c>
      <c r="N106" s="98" t="s">
        <v>762</v>
      </c>
      <c r="O106" s="90" t="s">
        <v>178</v>
      </c>
      <c r="P106" s="155">
        <v>0</v>
      </c>
      <c r="Q106" s="154" t="s">
        <v>178</v>
      </c>
      <c r="R106" s="90" t="s">
        <v>672</v>
      </c>
      <c r="S106" s="149" t="s">
        <v>178</v>
      </c>
      <c r="T106" s="90" t="s">
        <v>178</v>
      </c>
      <c r="U106" s="117" t="s">
        <v>178</v>
      </c>
      <c r="V106" s="61">
        <v>26.724083</v>
      </c>
      <c r="W106" s="61">
        <v>-81.078433000000004</v>
      </c>
      <c r="X106" s="90" t="s">
        <v>178</v>
      </c>
      <c r="Y106" s="90"/>
    </row>
    <row r="107" spans="1:25" ht="158.4" x14ac:dyDescent="0.3">
      <c r="A107" s="90" t="s">
        <v>582</v>
      </c>
      <c r="B107" s="174">
        <v>5206</v>
      </c>
      <c r="C107" s="90" t="s">
        <v>672</v>
      </c>
      <c r="D107" s="90" t="s">
        <v>178</v>
      </c>
      <c r="E107" s="90" t="s">
        <v>676</v>
      </c>
      <c r="F107" s="90" t="s">
        <v>666</v>
      </c>
      <c r="G107" s="90" t="s">
        <v>677</v>
      </c>
      <c r="H107" s="90" t="s">
        <v>106</v>
      </c>
      <c r="I107" s="90" t="s">
        <v>118</v>
      </c>
      <c r="J107" s="61" t="s">
        <v>950</v>
      </c>
      <c r="K107" s="90" t="s">
        <v>114</v>
      </c>
      <c r="L107" s="90" t="s">
        <v>178</v>
      </c>
      <c r="M107" s="90" t="s">
        <v>178</v>
      </c>
      <c r="N107" s="90" t="s">
        <v>762</v>
      </c>
      <c r="O107" s="90" t="s">
        <v>178</v>
      </c>
      <c r="P107" s="155">
        <v>15000</v>
      </c>
      <c r="Q107" s="154" t="s">
        <v>178</v>
      </c>
      <c r="R107" s="90" t="s">
        <v>672</v>
      </c>
      <c r="S107" s="61" t="s">
        <v>988</v>
      </c>
      <c r="T107" s="90" t="s">
        <v>178</v>
      </c>
      <c r="U107" s="117" t="s">
        <v>178</v>
      </c>
      <c r="V107" s="61">
        <v>26.724083</v>
      </c>
      <c r="W107" s="61">
        <v>-81.078433000000004</v>
      </c>
      <c r="X107" s="90" t="s">
        <v>178</v>
      </c>
      <c r="Y107" s="90"/>
    </row>
    <row r="108" spans="1:25" ht="92.4" x14ac:dyDescent="0.3">
      <c r="A108" s="90" t="s">
        <v>582</v>
      </c>
      <c r="B108" s="174">
        <v>5207</v>
      </c>
      <c r="C108" s="90" t="s">
        <v>672</v>
      </c>
      <c r="D108" s="90" t="s">
        <v>178</v>
      </c>
      <c r="E108" s="90" t="s">
        <v>678</v>
      </c>
      <c r="F108" s="90" t="s">
        <v>613</v>
      </c>
      <c r="G108" s="90" t="s">
        <v>614</v>
      </c>
      <c r="H108" s="90" t="s">
        <v>106</v>
      </c>
      <c r="I108" s="90" t="s">
        <v>1</v>
      </c>
      <c r="J108" s="61" t="s">
        <v>950</v>
      </c>
      <c r="K108" s="90" t="s">
        <v>178</v>
      </c>
      <c r="L108" s="90" t="s">
        <v>178</v>
      </c>
      <c r="M108" s="90" t="s">
        <v>178</v>
      </c>
      <c r="N108" s="90" t="s">
        <v>762</v>
      </c>
      <c r="O108" s="90" t="s">
        <v>178</v>
      </c>
      <c r="P108" s="155">
        <v>20000</v>
      </c>
      <c r="Q108" s="154" t="s">
        <v>178</v>
      </c>
      <c r="R108" s="90" t="s">
        <v>672</v>
      </c>
      <c r="S108" s="61" t="s">
        <v>980</v>
      </c>
      <c r="T108" s="90" t="s">
        <v>178</v>
      </c>
      <c r="U108" s="117" t="s">
        <v>178</v>
      </c>
      <c r="V108" s="61">
        <v>26.769349999999999</v>
      </c>
      <c r="W108" s="61">
        <v>-81.114063999999999</v>
      </c>
      <c r="X108" s="90" t="s">
        <v>178</v>
      </c>
      <c r="Y108" s="90"/>
    </row>
    <row r="109" spans="1:25" ht="92.4" x14ac:dyDescent="0.3">
      <c r="A109" s="90" t="s">
        <v>582</v>
      </c>
      <c r="B109" s="174">
        <v>2367</v>
      </c>
      <c r="C109" s="90" t="s">
        <v>78</v>
      </c>
      <c r="D109" s="90" t="s">
        <v>399</v>
      </c>
      <c r="E109" s="90" t="s">
        <v>149</v>
      </c>
      <c r="F109" s="90" t="s">
        <v>538</v>
      </c>
      <c r="G109" s="90" t="s">
        <v>89</v>
      </c>
      <c r="H109" s="90" t="s">
        <v>110</v>
      </c>
      <c r="I109" s="90" t="s">
        <v>2</v>
      </c>
      <c r="J109" s="90" t="s">
        <v>399</v>
      </c>
      <c r="K109" s="90" t="s">
        <v>76</v>
      </c>
      <c r="L109" s="90">
        <v>213.73085669413214</v>
      </c>
      <c r="M109" s="90">
        <v>26.776340056296988</v>
      </c>
      <c r="N109" s="90" t="s">
        <v>103</v>
      </c>
      <c r="O109" s="90">
        <v>124.6</v>
      </c>
      <c r="P109" s="90" t="s">
        <v>399</v>
      </c>
      <c r="Q109" s="90" t="s">
        <v>399</v>
      </c>
      <c r="R109" s="90" t="s">
        <v>399</v>
      </c>
      <c r="S109" s="90" t="s">
        <v>399</v>
      </c>
      <c r="T109" s="90" t="s">
        <v>178</v>
      </c>
      <c r="U109" s="117" t="s">
        <v>399</v>
      </c>
      <c r="V109" s="90">
        <v>26.61183763</v>
      </c>
      <c r="W109" s="90">
        <v>-81.879033699999994</v>
      </c>
      <c r="X109" s="90" t="s">
        <v>178</v>
      </c>
      <c r="Y109" s="90"/>
    </row>
    <row r="110" spans="1:25" ht="118.8" x14ac:dyDescent="0.3">
      <c r="A110" s="90" t="s">
        <v>582</v>
      </c>
      <c r="B110" s="174">
        <v>2368</v>
      </c>
      <c r="C110" s="90" t="s">
        <v>78</v>
      </c>
      <c r="D110" s="90" t="s">
        <v>399</v>
      </c>
      <c r="E110" s="90" t="s">
        <v>150</v>
      </c>
      <c r="F110" s="90" t="s">
        <v>12</v>
      </c>
      <c r="G110" s="90" t="s">
        <v>79</v>
      </c>
      <c r="H110" s="90" t="s">
        <v>12</v>
      </c>
      <c r="I110" s="90" t="s">
        <v>1</v>
      </c>
      <c r="J110" s="90" t="s">
        <v>399</v>
      </c>
      <c r="K110" s="90" t="s">
        <v>178</v>
      </c>
      <c r="L110" s="90">
        <v>4652.174979774828</v>
      </c>
      <c r="M110" s="90">
        <v>1630.402357841793</v>
      </c>
      <c r="N110" s="90" t="s">
        <v>103</v>
      </c>
      <c r="O110" s="90" t="s">
        <v>178</v>
      </c>
      <c r="P110" s="90" t="s">
        <v>399</v>
      </c>
      <c r="Q110" s="90" t="s">
        <v>399</v>
      </c>
      <c r="R110" s="90" t="s">
        <v>399</v>
      </c>
      <c r="S110" s="90" t="s">
        <v>399</v>
      </c>
      <c r="T110" s="90" t="s">
        <v>178</v>
      </c>
      <c r="U110" s="117" t="s">
        <v>399</v>
      </c>
      <c r="V110" s="90" t="s">
        <v>399</v>
      </c>
      <c r="W110" s="90" t="s">
        <v>399</v>
      </c>
      <c r="X110" s="90" t="s">
        <v>178</v>
      </c>
      <c r="Y110" s="90"/>
    </row>
    <row r="111" spans="1:25" ht="105.6" x14ac:dyDescent="0.3">
      <c r="A111" s="90" t="s">
        <v>582</v>
      </c>
      <c r="B111" s="174">
        <v>2369</v>
      </c>
      <c r="C111" s="90" t="s">
        <v>78</v>
      </c>
      <c r="D111" s="90" t="s">
        <v>399</v>
      </c>
      <c r="E111" s="90" t="s">
        <v>151</v>
      </c>
      <c r="F111" s="90" t="s">
        <v>539</v>
      </c>
      <c r="G111" s="90" t="s">
        <v>501</v>
      </c>
      <c r="H111" s="167" t="s">
        <v>403</v>
      </c>
      <c r="I111" s="90" t="s">
        <v>2</v>
      </c>
      <c r="J111" s="90" t="s">
        <v>399</v>
      </c>
      <c r="K111" s="90" t="s">
        <v>76</v>
      </c>
      <c r="L111" s="90" t="s">
        <v>114</v>
      </c>
      <c r="M111" s="90" t="s">
        <v>114</v>
      </c>
      <c r="N111" s="90" t="s">
        <v>103</v>
      </c>
      <c r="O111" s="90">
        <v>117.9</v>
      </c>
      <c r="P111" s="90" t="s">
        <v>399</v>
      </c>
      <c r="Q111" s="90" t="s">
        <v>399</v>
      </c>
      <c r="R111" s="90" t="s">
        <v>399</v>
      </c>
      <c r="S111" s="90" t="s">
        <v>399</v>
      </c>
      <c r="T111" s="90" t="s">
        <v>178</v>
      </c>
      <c r="U111" s="117" t="s">
        <v>399</v>
      </c>
      <c r="V111" s="90">
        <v>26.545303010000001</v>
      </c>
      <c r="W111" s="90">
        <v>-81.898234450000004</v>
      </c>
      <c r="X111" s="90" t="s">
        <v>178</v>
      </c>
      <c r="Y111" s="90"/>
    </row>
    <row r="112" spans="1:25" ht="264" x14ac:dyDescent="0.3">
      <c r="A112" s="90" t="s">
        <v>582</v>
      </c>
      <c r="B112" s="174">
        <v>2370</v>
      </c>
      <c r="C112" s="90" t="s">
        <v>78</v>
      </c>
      <c r="D112" s="90" t="s">
        <v>399</v>
      </c>
      <c r="E112" s="90" t="s">
        <v>152</v>
      </c>
      <c r="F112" s="90" t="s">
        <v>289</v>
      </c>
      <c r="G112" s="149" t="s">
        <v>931</v>
      </c>
      <c r="H112" s="90" t="s">
        <v>106</v>
      </c>
      <c r="I112" s="90" t="s">
        <v>2</v>
      </c>
      <c r="J112" s="90" t="s">
        <v>399</v>
      </c>
      <c r="K112" s="90" t="s">
        <v>76</v>
      </c>
      <c r="L112" s="90">
        <v>485.94195997010848</v>
      </c>
      <c r="M112" s="90">
        <v>77.728824044765787</v>
      </c>
      <c r="N112" s="90" t="s">
        <v>103</v>
      </c>
      <c r="O112" s="90">
        <v>642.70000000000005</v>
      </c>
      <c r="P112" s="90" t="s">
        <v>399</v>
      </c>
      <c r="Q112" s="90" t="s">
        <v>399</v>
      </c>
      <c r="R112" s="90" t="s">
        <v>399</v>
      </c>
      <c r="S112" s="90" t="s">
        <v>399</v>
      </c>
      <c r="T112" s="90" t="s">
        <v>178</v>
      </c>
      <c r="U112" s="117" t="s">
        <v>399</v>
      </c>
      <c r="V112" s="90">
        <v>26.627068189999999</v>
      </c>
      <c r="W112" s="90">
        <v>-81.879868650000006</v>
      </c>
      <c r="X112" s="90" t="s">
        <v>178</v>
      </c>
      <c r="Y112" s="90"/>
    </row>
    <row r="113" spans="1:25" ht="303.60000000000002" x14ac:dyDescent="0.3">
      <c r="A113" s="90" t="s">
        <v>582</v>
      </c>
      <c r="B113" s="174">
        <v>2371</v>
      </c>
      <c r="C113" s="90" t="s">
        <v>78</v>
      </c>
      <c r="D113" s="90" t="s">
        <v>399</v>
      </c>
      <c r="E113" s="90" t="s">
        <v>153</v>
      </c>
      <c r="F113" s="90" t="s">
        <v>290</v>
      </c>
      <c r="G113" s="90" t="s">
        <v>919</v>
      </c>
      <c r="H113" s="90" t="s">
        <v>106</v>
      </c>
      <c r="I113" s="90" t="s">
        <v>2</v>
      </c>
      <c r="J113" s="90" t="s">
        <v>399</v>
      </c>
      <c r="K113" s="90" t="s">
        <v>76</v>
      </c>
      <c r="L113" s="90">
        <v>981.2364943613585</v>
      </c>
      <c r="M113" s="90">
        <v>310.58469773282712</v>
      </c>
      <c r="N113" s="90" t="s">
        <v>103</v>
      </c>
      <c r="O113" s="90">
        <v>437.9</v>
      </c>
      <c r="P113" s="90" t="s">
        <v>399</v>
      </c>
      <c r="Q113" s="90" t="s">
        <v>399</v>
      </c>
      <c r="R113" s="90" t="s">
        <v>399</v>
      </c>
      <c r="S113" s="90" t="s">
        <v>399</v>
      </c>
      <c r="T113" s="90" t="s">
        <v>178</v>
      </c>
      <c r="U113" s="117" t="s">
        <v>399</v>
      </c>
      <c r="V113" s="90">
        <v>26.626174089999999</v>
      </c>
      <c r="W113" s="90">
        <v>-81.870245389999994</v>
      </c>
      <c r="X113" s="90" t="s">
        <v>178</v>
      </c>
      <c r="Y113" s="90"/>
    </row>
    <row r="114" spans="1:25" ht="52.8" x14ac:dyDescent="0.3">
      <c r="A114" s="90" t="s">
        <v>582</v>
      </c>
      <c r="B114" s="174">
        <v>2372</v>
      </c>
      <c r="C114" s="90" t="s">
        <v>78</v>
      </c>
      <c r="D114" s="90" t="s">
        <v>399</v>
      </c>
      <c r="E114" s="90" t="s">
        <v>154</v>
      </c>
      <c r="F114" s="90" t="s">
        <v>20</v>
      </c>
      <c r="G114" s="90" t="s">
        <v>90</v>
      </c>
      <c r="H114" s="90" t="s">
        <v>784</v>
      </c>
      <c r="I114" s="90" t="s">
        <v>2</v>
      </c>
      <c r="J114" s="90" t="s">
        <v>399</v>
      </c>
      <c r="K114" s="90" t="s">
        <v>76</v>
      </c>
      <c r="L114" s="90">
        <v>1421</v>
      </c>
      <c r="M114" s="90">
        <v>1211</v>
      </c>
      <c r="N114" s="90" t="s">
        <v>103</v>
      </c>
      <c r="O114" s="90">
        <v>1631.6</v>
      </c>
      <c r="P114" s="90" t="s">
        <v>399</v>
      </c>
      <c r="Q114" s="90" t="s">
        <v>399</v>
      </c>
      <c r="R114" s="90" t="s">
        <v>399</v>
      </c>
      <c r="S114" s="90" t="s">
        <v>399</v>
      </c>
      <c r="T114" s="90" t="s">
        <v>178</v>
      </c>
      <c r="U114" s="117" t="s">
        <v>399</v>
      </c>
      <c r="V114" s="90">
        <v>26.66128544</v>
      </c>
      <c r="W114" s="90">
        <v>-81.824795080000001</v>
      </c>
      <c r="X114" s="90" t="s">
        <v>178</v>
      </c>
      <c r="Y114" s="90"/>
    </row>
    <row r="115" spans="1:25" ht="118.8" x14ac:dyDescent="0.3">
      <c r="A115" s="90" t="s">
        <v>582</v>
      </c>
      <c r="B115" s="174">
        <v>2373</v>
      </c>
      <c r="C115" s="90" t="s">
        <v>78</v>
      </c>
      <c r="D115" s="90" t="s">
        <v>399</v>
      </c>
      <c r="E115" s="90" t="s">
        <v>155</v>
      </c>
      <c r="F115" s="90" t="s">
        <v>540</v>
      </c>
      <c r="G115" s="90" t="s">
        <v>541</v>
      </c>
      <c r="H115" s="167" t="s">
        <v>448</v>
      </c>
      <c r="I115" s="90" t="s">
        <v>2</v>
      </c>
      <c r="J115" s="90" t="s">
        <v>399</v>
      </c>
      <c r="K115" s="90" t="s">
        <v>873</v>
      </c>
      <c r="L115" s="90">
        <v>36.408610440713289</v>
      </c>
      <c r="M115" s="90">
        <v>3.6839592547341176</v>
      </c>
      <c r="N115" s="90" t="s">
        <v>103</v>
      </c>
      <c r="O115" s="90">
        <v>28</v>
      </c>
      <c r="P115" s="90" t="s">
        <v>399</v>
      </c>
      <c r="Q115" s="90" t="s">
        <v>399</v>
      </c>
      <c r="R115" s="90" t="s">
        <v>399</v>
      </c>
      <c r="S115" s="90" t="s">
        <v>399</v>
      </c>
      <c r="T115" s="90" t="s">
        <v>178</v>
      </c>
      <c r="U115" s="117" t="s">
        <v>399</v>
      </c>
      <c r="V115" s="90">
        <v>26.650760900000002</v>
      </c>
      <c r="W115" s="90">
        <v>-81.842907210000007</v>
      </c>
      <c r="X115" s="90" t="s">
        <v>178</v>
      </c>
      <c r="Y115" s="90"/>
    </row>
    <row r="116" spans="1:25" ht="198" x14ac:dyDescent="0.3">
      <c r="A116" s="90" t="s">
        <v>582</v>
      </c>
      <c r="B116" s="174">
        <v>2374</v>
      </c>
      <c r="C116" s="90" t="s">
        <v>78</v>
      </c>
      <c r="D116" s="90" t="s">
        <v>399</v>
      </c>
      <c r="E116" s="90" t="s">
        <v>156</v>
      </c>
      <c r="F116" s="90" t="s">
        <v>3</v>
      </c>
      <c r="G116" s="90" t="s">
        <v>542</v>
      </c>
      <c r="H116" s="90" t="s">
        <v>3</v>
      </c>
      <c r="I116" s="90" t="s">
        <v>1</v>
      </c>
      <c r="J116" s="90" t="s">
        <v>399</v>
      </c>
      <c r="K116" s="90" t="s">
        <v>178</v>
      </c>
      <c r="L116" s="90">
        <v>1851.3153696785869</v>
      </c>
      <c r="M116" s="90">
        <v>1173.8445490668453</v>
      </c>
      <c r="N116" s="90" t="s">
        <v>103</v>
      </c>
      <c r="O116" s="90" t="s">
        <v>178</v>
      </c>
      <c r="P116" s="90" t="s">
        <v>399</v>
      </c>
      <c r="Q116" s="90" t="s">
        <v>399</v>
      </c>
      <c r="R116" s="90" t="s">
        <v>399</v>
      </c>
      <c r="S116" s="90" t="s">
        <v>399</v>
      </c>
      <c r="T116" s="90" t="s">
        <v>178</v>
      </c>
      <c r="U116" s="117" t="s">
        <v>399</v>
      </c>
      <c r="V116" s="90" t="s">
        <v>178</v>
      </c>
      <c r="W116" s="90" t="s">
        <v>178</v>
      </c>
      <c r="X116" s="90" t="s">
        <v>178</v>
      </c>
      <c r="Y116" s="90"/>
    </row>
    <row r="117" spans="1:25" ht="237.6" x14ac:dyDescent="0.3">
      <c r="A117" s="90" t="s">
        <v>582</v>
      </c>
      <c r="B117" s="174">
        <v>2375</v>
      </c>
      <c r="C117" s="90" t="s">
        <v>78</v>
      </c>
      <c r="D117" s="90" t="s">
        <v>399</v>
      </c>
      <c r="E117" s="90" t="s">
        <v>157</v>
      </c>
      <c r="F117" s="90" t="s">
        <v>22</v>
      </c>
      <c r="G117" s="90" t="s">
        <v>254</v>
      </c>
      <c r="H117" s="90" t="s">
        <v>784</v>
      </c>
      <c r="I117" s="90" t="s">
        <v>2</v>
      </c>
      <c r="J117" s="90" t="s">
        <v>399</v>
      </c>
      <c r="K117" s="90" t="s">
        <v>951</v>
      </c>
      <c r="L117" s="90">
        <v>7916.409812016459</v>
      </c>
      <c r="M117" s="90">
        <v>1411.9776663543594</v>
      </c>
      <c r="N117" s="90" t="s">
        <v>103</v>
      </c>
      <c r="O117" s="90">
        <v>811</v>
      </c>
      <c r="P117" s="90" t="s">
        <v>399</v>
      </c>
      <c r="Q117" s="90" t="s">
        <v>399</v>
      </c>
      <c r="R117" s="90" t="s">
        <v>399</v>
      </c>
      <c r="S117" s="90" t="s">
        <v>399</v>
      </c>
      <c r="T117" s="90" t="s">
        <v>178</v>
      </c>
      <c r="U117" s="117" t="s">
        <v>399</v>
      </c>
      <c r="V117" s="90">
        <v>26.652341320000001</v>
      </c>
      <c r="W117" s="90">
        <v>-81.846580000000003</v>
      </c>
      <c r="X117" s="90" t="s">
        <v>178</v>
      </c>
      <c r="Y117" s="90"/>
    </row>
    <row r="118" spans="1:25" ht="52.8" x14ac:dyDescent="0.3">
      <c r="A118" s="90" t="s">
        <v>582</v>
      </c>
      <c r="B118" s="174">
        <v>2376</v>
      </c>
      <c r="C118" s="90" t="s">
        <v>78</v>
      </c>
      <c r="D118" s="90" t="s">
        <v>399</v>
      </c>
      <c r="E118" s="90" t="s">
        <v>23</v>
      </c>
      <c r="F118" s="90" t="s">
        <v>24</v>
      </c>
      <c r="G118" s="90" t="s">
        <v>543</v>
      </c>
      <c r="H118" s="90" t="s">
        <v>484</v>
      </c>
      <c r="I118" s="90" t="s">
        <v>2</v>
      </c>
      <c r="J118" s="90" t="s">
        <v>399</v>
      </c>
      <c r="K118" s="90" t="s">
        <v>873</v>
      </c>
      <c r="L118" s="90">
        <v>37.402900438605002</v>
      </c>
      <c r="M118" s="90">
        <v>9.9875885900680039</v>
      </c>
      <c r="N118" s="90" t="s">
        <v>103</v>
      </c>
      <c r="O118" s="90">
        <v>15</v>
      </c>
      <c r="P118" s="90" t="s">
        <v>399</v>
      </c>
      <c r="Q118" s="90" t="s">
        <v>399</v>
      </c>
      <c r="R118" s="90" t="s">
        <v>399</v>
      </c>
      <c r="S118" s="90" t="s">
        <v>399</v>
      </c>
      <c r="T118" s="90" t="s">
        <v>178</v>
      </c>
      <c r="U118" s="117" t="s">
        <v>399</v>
      </c>
      <c r="V118" s="90">
        <v>26.645897040000001</v>
      </c>
      <c r="W118" s="90">
        <v>-81.87110337</v>
      </c>
      <c r="X118" s="90" t="s">
        <v>178</v>
      </c>
      <c r="Y118" s="90"/>
    </row>
    <row r="119" spans="1:25" ht="118.8" x14ac:dyDescent="0.3">
      <c r="A119" s="90" t="s">
        <v>582</v>
      </c>
      <c r="B119" s="174">
        <v>2388</v>
      </c>
      <c r="C119" s="90" t="s">
        <v>78</v>
      </c>
      <c r="D119" s="90" t="s">
        <v>399</v>
      </c>
      <c r="E119" s="90" t="s">
        <v>64</v>
      </c>
      <c r="F119" s="90" t="s">
        <v>65</v>
      </c>
      <c r="G119" s="90" t="s">
        <v>83</v>
      </c>
      <c r="H119" s="90" t="s">
        <v>283</v>
      </c>
      <c r="I119" s="90" t="s">
        <v>2</v>
      </c>
      <c r="J119" s="90" t="s">
        <v>399</v>
      </c>
      <c r="K119" s="90" t="s">
        <v>963</v>
      </c>
      <c r="L119" s="90">
        <v>639.77533117310008</v>
      </c>
      <c r="M119" s="90">
        <v>218.32377324732877</v>
      </c>
      <c r="N119" s="90" t="s">
        <v>103</v>
      </c>
      <c r="O119" s="90">
        <v>848</v>
      </c>
      <c r="P119" s="90" t="s">
        <v>399</v>
      </c>
      <c r="Q119" s="90" t="s">
        <v>399</v>
      </c>
      <c r="R119" s="90" t="s">
        <v>399</v>
      </c>
      <c r="S119" s="90" t="s">
        <v>399</v>
      </c>
      <c r="T119" s="90" t="s">
        <v>178</v>
      </c>
      <c r="U119" s="117" t="s">
        <v>399</v>
      </c>
      <c r="V119" s="90">
        <v>26.610993400000002</v>
      </c>
      <c r="W119" s="90">
        <v>-81.876577359999999</v>
      </c>
      <c r="X119" s="90" t="s">
        <v>178</v>
      </c>
      <c r="Y119" s="90"/>
    </row>
    <row r="120" spans="1:25" ht="52.8" x14ac:dyDescent="0.3">
      <c r="A120" s="90" t="s">
        <v>582</v>
      </c>
      <c r="B120" s="174">
        <v>2378</v>
      </c>
      <c r="C120" s="90" t="s">
        <v>78</v>
      </c>
      <c r="D120" s="90" t="s">
        <v>399</v>
      </c>
      <c r="E120" s="90" t="s">
        <v>318</v>
      </c>
      <c r="F120" s="90" t="s">
        <v>319</v>
      </c>
      <c r="G120" s="90" t="s">
        <v>502</v>
      </c>
      <c r="H120" s="167" t="s">
        <v>403</v>
      </c>
      <c r="I120" s="90" t="s">
        <v>2</v>
      </c>
      <c r="J120" s="90" t="s">
        <v>399</v>
      </c>
      <c r="K120" s="90" t="s">
        <v>955</v>
      </c>
      <c r="L120" s="90">
        <v>0</v>
      </c>
      <c r="M120" s="90">
        <v>0.72162417355154007</v>
      </c>
      <c r="N120" s="90" t="s">
        <v>103</v>
      </c>
      <c r="O120" s="90">
        <v>9</v>
      </c>
      <c r="P120" s="90" t="s">
        <v>399</v>
      </c>
      <c r="Q120" s="90" t="s">
        <v>399</v>
      </c>
      <c r="R120" s="90" t="s">
        <v>399</v>
      </c>
      <c r="S120" s="90" t="s">
        <v>399</v>
      </c>
      <c r="T120" s="90" t="s">
        <v>178</v>
      </c>
      <c r="U120" s="117" t="s">
        <v>399</v>
      </c>
      <c r="V120" s="90">
        <v>26.649867239999999</v>
      </c>
      <c r="W120" s="90">
        <v>-81.844605889999997</v>
      </c>
      <c r="X120" s="90" t="s">
        <v>178</v>
      </c>
      <c r="Y120" s="90"/>
    </row>
    <row r="121" spans="1:25" ht="79.2" x14ac:dyDescent="0.3">
      <c r="A121" s="90" t="s">
        <v>582</v>
      </c>
      <c r="B121" s="174">
        <v>2366</v>
      </c>
      <c r="C121" s="90" t="s">
        <v>78</v>
      </c>
      <c r="D121" s="90" t="s">
        <v>399</v>
      </c>
      <c r="E121" s="90" t="s">
        <v>320</v>
      </c>
      <c r="F121" s="90" t="s">
        <v>321</v>
      </c>
      <c r="G121" s="90" t="s">
        <v>341</v>
      </c>
      <c r="H121" s="90" t="s">
        <v>283</v>
      </c>
      <c r="I121" s="90" t="s">
        <v>322</v>
      </c>
      <c r="J121" s="90" t="s">
        <v>399</v>
      </c>
      <c r="K121" s="90" t="s">
        <v>114</v>
      </c>
      <c r="L121" s="90" t="s">
        <v>114</v>
      </c>
      <c r="M121" s="90" t="s">
        <v>114</v>
      </c>
      <c r="N121" s="90" t="s">
        <v>103</v>
      </c>
      <c r="O121" s="90">
        <v>9</v>
      </c>
      <c r="P121" s="90" t="s">
        <v>399</v>
      </c>
      <c r="Q121" s="90" t="s">
        <v>399</v>
      </c>
      <c r="R121" s="90" t="s">
        <v>399</v>
      </c>
      <c r="S121" s="90" t="s">
        <v>399</v>
      </c>
      <c r="T121" s="90" t="s">
        <v>178</v>
      </c>
      <c r="U121" s="117" t="s">
        <v>399</v>
      </c>
      <c r="V121" s="90">
        <v>26.646745150000001</v>
      </c>
      <c r="W121" s="90">
        <v>-81.852354550000001</v>
      </c>
      <c r="X121" s="90" t="s">
        <v>178</v>
      </c>
      <c r="Y121" s="90"/>
    </row>
    <row r="122" spans="1:25" ht="92.4" x14ac:dyDescent="0.3">
      <c r="A122" s="90" t="s">
        <v>582</v>
      </c>
      <c r="B122" s="174">
        <v>2379</v>
      </c>
      <c r="C122" s="90" t="s">
        <v>78</v>
      </c>
      <c r="D122" s="90" t="s">
        <v>399</v>
      </c>
      <c r="E122" s="90" t="s">
        <v>323</v>
      </c>
      <c r="F122" s="90" t="s">
        <v>343</v>
      </c>
      <c r="G122" s="90" t="s">
        <v>342</v>
      </c>
      <c r="H122" s="90" t="s">
        <v>283</v>
      </c>
      <c r="I122" s="90" t="s">
        <v>118</v>
      </c>
      <c r="J122" s="90" t="s">
        <v>399</v>
      </c>
      <c r="K122" s="90" t="s">
        <v>114</v>
      </c>
      <c r="L122" s="90" t="s">
        <v>114</v>
      </c>
      <c r="M122" s="90" t="s">
        <v>114</v>
      </c>
      <c r="N122" s="90" t="s">
        <v>103</v>
      </c>
      <c r="O122" s="90">
        <v>242</v>
      </c>
      <c r="P122" s="90" t="s">
        <v>399</v>
      </c>
      <c r="Q122" s="90" t="s">
        <v>399</v>
      </c>
      <c r="R122" s="90" t="s">
        <v>399</v>
      </c>
      <c r="S122" s="90" t="s">
        <v>399</v>
      </c>
      <c r="T122" s="90" t="s">
        <v>178</v>
      </c>
      <c r="U122" s="117" t="s">
        <v>399</v>
      </c>
      <c r="V122" s="90">
        <v>26.661574640000001</v>
      </c>
      <c r="W122" s="90">
        <v>-81.832974219999997</v>
      </c>
      <c r="X122" s="90" t="s">
        <v>178</v>
      </c>
      <c r="Y122" s="90"/>
    </row>
    <row r="123" spans="1:25" ht="105.6" x14ac:dyDescent="0.3">
      <c r="A123" s="90" t="s">
        <v>582</v>
      </c>
      <c r="B123" s="174">
        <v>2380</v>
      </c>
      <c r="C123" s="90" t="s">
        <v>78</v>
      </c>
      <c r="D123" s="90" t="s">
        <v>399</v>
      </c>
      <c r="E123" s="90" t="s">
        <v>324</v>
      </c>
      <c r="F123" s="90" t="s">
        <v>325</v>
      </c>
      <c r="G123" s="90" t="s">
        <v>344</v>
      </c>
      <c r="H123" s="90" t="s">
        <v>283</v>
      </c>
      <c r="I123" s="90" t="s">
        <v>118</v>
      </c>
      <c r="J123" s="90" t="s">
        <v>399</v>
      </c>
      <c r="K123" s="90" t="s">
        <v>114</v>
      </c>
      <c r="L123" s="90" t="s">
        <v>114</v>
      </c>
      <c r="M123" s="90" t="s">
        <v>114</v>
      </c>
      <c r="N123" s="90" t="s">
        <v>103</v>
      </c>
      <c r="O123" s="90">
        <v>183</v>
      </c>
      <c r="P123" s="90" t="s">
        <v>399</v>
      </c>
      <c r="Q123" s="90" t="s">
        <v>399</v>
      </c>
      <c r="R123" s="90" t="s">
        <v>399</v>
      </c>
      <c r="S123" s="90" t="s">
        <v>399</v>
      </c>
      <c r="T123" s="90" t="s">
        <v>178</v>
      </c>
      <c r="U123" s="117" t="s">
        <v>399</v>
      </c>
      <c r="V123" s="90">
        <v>26.634447460000001</v>
      </c>
      <c r="W123" s="90">
        <v>-81.843164709999996</v>
      </c>
      <c r="X123" s="90" t="s">
        <v>178</v>
      </c>
      <c r="Y123" s="90"/>
    </row>
    <row r="124" spans="1:25" ht="92.4" x14ac:dyDescent="0.3">
      <c r="A124" s="90" t="s">
        <v>582</v>
      </c>
      <c r="B124" s="174">
        <v>2381</v>
      </c>
      <c r="C124" s="90" t="s">
        <v>78</v>
      </c>
      <c r="D124" s="90" t="s">
        <v>399</v>
      </c>
      <c r="E124" s="90" t="s">
        <v>326</v>
      </c>
      <c r="F124" s="90" t="s">
        <v>345</v>
      </c>
      <c r="G124" s="90" t="s">
        <v>342</v>
      </c>
      <c r="H124" s="90" t="s">
        <v>283</v>
      </c>
      <c r="I124" s="90" t="s">
        <v>118</v>
      </c>
      <c r="J124" s="90" t="s">
        <v>399</v>
      </c>
      <c r="K124" s="90" t="s">
        <v>114</v>
      </c>
      <c r="L124" s="90" t="s">
        <v>114</v>
      </c>
      <c r="M124" s="90" t="s">
        <v>114</v>
      </c>
      <c r="N124" s="90" t="s">
        <v>103</v>
      </c>
      <c r="O124" s="90">
        <v>336</v>
      </c>
      <c r="P124" s="90" t="s">
        <v>399</v>
      </c>
      <c r="Q124" s="90" t="s">
        <v>399</v>
      </c>
      <c r="R124" s="90" t="s">
        <v>399</v>
      </c>
      <c r="S124" s="90" t="s">
        <v>399</v>
      </c>
      <c r="T124" s="90" t="s">
        <v>178</v>
      </c>
      <c r="U124" s="117" t="s">
        <v>399</v>
      </c>
      <c r="V124" s="90">
        <v>26.66456608</v>
      </c>
      <c r="W124" s="90">
        <v>-81.837716369999995</v>
      </c>
      <c r="X124" s="90" t="s">
        <v>178</v>
      </c>
      <c r="Y124" s="90"/>
    </row>
    <row r="125" spans="1:25" ht="171.6" x14ac:dyDescent="0.3">
      <c r="A125" s="90" t="s">
        <v>582</v>
      </c>
      <c r="B125" s="174">
        <v>4852</v>
      </c>
      <c r="C125" s="90" t="s">
        <v>567</v>
      </c>
      <c r="D125" s="90" t="s">
        <v>178</v>
      </c>
      <c r="E125" s="90" t="s">
        <v>568</v>
      </c>
      <c r="F125" s="90" t="s">
        <v>569</v>
      </c>
      <c r="G125" s="90" t="s">
        <v>570</v>
      </c>
      <c r="H125" s="90" t="s">
        <v>12</v>
      </c>
      <c r="I125" s="61" t="s">
        <v>2</v>
      </c>
      <c r="J125" s="61" t="s">
        <v>963</v>
      </c>
      <c r="K125" s="61" t="s">
        <v>951</v>
      </c>
      <c r="L125" s="90">
        <v>1564.0296893829764</v>
      </c>
      <c r="M125" s="90">
        <v>299.09398854493202</v>
      </c>
      <c r="N125" s="90" t="s">
        <v>765</v>
      </c>
      <c r="O125" s="117" t="s">
        <v>178</v>
      </c>
      <c r="P125" s="90" t="s">
        <v>399</v>
      </c>
      <c r="Q125" s="90">
        <v>5500</v>
      </c>
      <c r="R125" s="90" t="s">
        <v>567</v>
      </c>
      <c r="S125" s="61" t="s">
        <v>178</v>
      </c>
      <c r="T125" s="90" t="s">
        <v>178</v>
      </c>
      <c r="U125" s="61" t="s">
        <v>178</v>
      </c>
      <c r="V125" s="61">
        <v>26.864781000000001</v>
      </c>
      <c r="W125" s="61">
        <v>-81.287188</v>
      </c>
      <c r="X125" s="90" t="s">
        <v>178</v>
      </c>
      <c r="Y125" s="90"/>
    </row>
    <row r="126" spans="1:25" ht="330" x14ac:dyDescent="0.3">
      <c r="A126" s="90" t="s">
        <v>582</v>
      </c>
      <c r="B126" s="174">
        <v>4853</v>
      </c>
      <c r="C126" s="90" t="s">
        <v>567</v>
      </c>
      <c r="D126" s="90" t="s">
        <v>178</v>
      </c>
      <c r="E126" s="90" t="s">
        <v>571</v>
      </c>
      <c r="F126" s="90" t="s">
        <v>572</v>
      </c>
      <c r="G126" s="90" t="s">
        <v>573</v>
      </c>
      <c r="H126" s="90" t="s">
        <v>486</v>
      </c>
      <c r="I126" s="61" t="s">
        <v>322</v>
      </c>
      <c r="J126" s="61" t="s">
        <v>860</v>
      </c>
      <c r="K126" s="90" t="s">
        <v>950</v>
      </c>
      <c r="L126" s="90">
        <v>1252.7</v>
      </c>
      <c r="M126" s="90" t="s">
        <v>178</v>
      </c>
      <c r="N126" s="98" t="s">
        <v>762</v>
      </c>
      <c r="O126" s="90" t="s">
        <v>114</v>
      </c>
      <c r="P126" s="90">
        <v>891848</v>
      </c>
      <c r="Q126" s="90">
        <v>12240</v>
      </c>
      <c r="R126" s="61" t="s">
        <v>186</v>
      </c>
      <c r="S126" s="90" t="s">
        <v>989</v>
      </c>
      <c r="T126" s="61" t="s">
        <v>743</v>
      </c>
      <c r="U126" s="61" t="s">
        <v>178</v>
      </c>
      <c r="V126" s="61">
        <v>26.828299999999999</v>
      </c>
      <c r="W126" s="61">
        <v>-81.096900000000005</v>
      </c>
      <c r="X126" s="61" t="s">
        <v>923</v>
      </c>
      <c r="Y126" s="90"/>
    </row>
    <row r="127" spans="1:25" ht="79.2" x14ac:dyDescent="0.3">
      <c r="A127" s="90" t="s">
        <v>582</v>
      </c>
      <c r="B127" s="174">
        <v>4854</v>
      </c>
      <c r="C127" s="90" t="s">
        <v>567</v>
      </c>
      <c r="D127" s="90" t="s">
        <v>178</v>
      </c>
      <c r="E127" s="90" t="s">
        <v>574</v>
      </c>
      <c r="F127" s="90" t="s">
        <v>575</v>
      </c>
      <c r="G127" s="90" t="s">
        <v>587</v>
      </c>
      <c r="H127" s="90" t="s">
        <v>784</v>
      </c>
      <c r="I127" s="90" t="s">
        <v>322</v>
      </c>
      <c r="J127" s="61" t="s">
        <v>949</v>
      </c>
      <c r="K127" s="90" t="s">
        <v>950</v>
      </c>
      <c r="L127" s="90" t="s">
        <v>114</v>
      </c>
      <c r="M127" s="90" t="s">
        <v>114</v>
      </c>
      <c r="N127" s="98" t="s">
        <v>213</v>
      </c>
      <c r="O127" s="61">
        <v>9</v>
      </c>
      <c r="P127" s="90">
        <v>42395</v>
      </c>
      <c r="Q127" s="61">
        <v>21198</v>
      </c>
      <c r="R127" s="90" t="s">
        <v>567</v>
      </c>
      <c r="S127" s="61" t="s">
        <v>990</v>
      </c>
      <c r="T127" s="61" t="s">
        <v>178</v>
      </c>
      <c r="U127" s="61" t="s">
        <v>178</v>
      </c>
      <c r="V127" s="61">
        <v>26.835516999999999</v>
      </c>
      <c r="W127" s="61">
        <v>-81.124968999999993</v>
      </c>
      <c r="X127" s="90" t="s">
        <v>178</v>
      </c>
      <c r="Y127" s="90"/>
    </row>
    <row r="128" spans="1:25" ht="105.6" x14ac:dyDescent="0.3">
      <c r="A128" s="90" t="s">
        <v>582</v>
      </c>
      <c r="B128" s="174">
        <v>5208</v>
      </c>
      <c r="C128" s="90" t="s">
        <v>679</v>
      </c>
      <c r="D128" s="90" t="s">
        <v>722</v>
      </c>
      <c r="E128" s="90" t="s">
        <v>680</v>
      </c>
      <c r="F128" s="90" t="s">
        <v>602</v>
      </c>
      <c r="G128" s="90" t="s">
        <v>603</v>
      </c>
      <c r="H128" s="90" t="s">
        <v>12</v>
      </c>
      <c r="I128" s="90" t="s">
        <v>118</v>
      </c>
      <c r="J128" s="61" t="s">
        <v>798</v>
      </c>
      <c r="K128" s="90" t="s">
        <v>178</v>
      </c>
      <c r="L128" s="90" t="s">
        <v>178</v>
      </c>
      <c r="M128" s="90" t="s">
        <v>178</v>
      </c>
      <c r="N128" s="98" t="s">
        <v>763</v>
      </c>
      <c r="O128" s="90" t="s">
        <v>178</v>
      </c>
      <c r="P128" s="61">
        <v>500</v>
      </c>
      <c r="Q128" s="90" t="s">
        <v>178</v>
      </c>
      <c r="R128" s="90" t="s">
        <v>679</v>
      </c>
      <c r="S128" s="61" t="s">
        <v>974</v>
      </c>
      <c r="T128" s="90" t="s">
        <v>178</v>
      </c>
      <c r="U128" s="117" t="s">
        <v>178</v>
      </c>
      <c r="V128" s="61">
        <v>26.677781</v>
      </c>
      <c r="W128" s="61">
        <v>-81.342258000000001</v>
      </c>
      <c r="X128" s="90" t="s">
        <v>178</v>
      </c>
      <c r="Y128" s="90"/>
    </row>
    <row r="129" spans="1:25" ht="132" x14ac:dyDescent="0.3">
      <c r="A129" s="90" t="s">
        <v>582</v>
      </c>
      <c r="B129" s="174">
        <v>5209</v>
      </c>
      <c r="C129" s="90" t="s">
        <v>679</v>
      </c>
      <c r="D129" s="90" t="s">
        <v>96</v>
      </c>
      <c r="E129" s="90" t="s">
        <v>681</v>
      </c>
      <c r="F129" s="90" t="s">
        <v>605</v>
      </c>
      <c r="G129" s="90" t="s">
        <v>606</v>
      </c>
      <c r="H129" s="90" t="s">
        <v>444</v>
      </c>
      <c r="I129" s="90" t="s">
        <v>118</v>
      </c>
      <c r="J129" s="61" t="s">
        <v>798</v>
      </c>
      <c r="K129" s="90" t="s">
        <v>178</v>
      </c>
      <c r="L129" s="90" t="s">
        <v>178</v>
      </c>
      <c r="M129" s="90" t="s">
        <v>178</v>
      </c>
      <c r="N129" s="98" t="s">
        <v>763</v>
      </c>
      <c r="O129" s="90" t="s">
        <v>178</v>
      </c>
      <c r="P129" s="61">
        <v>1000</v>
      </c>
      <c r="Q129" s="90" t="s">
        <v>178</v>
      </c>
      <c r="R129" s="90" t="s">
        <v>679</v>
      </c>
      <c r="S129" s="61" t="s">
        <v>975</v>
      </c>
      <c r="T129" s="90" t="s">
        <v>178</v>
      </c>
      <c r="U129" s="117" t="s">
        <v>178</v>
      </c>
      <c r="V129" s="61">
        <v>26.677781</v>
      </c>
      <c r="W129" s="61">
        <v>-81.342258000000001</v>
      </c>
      <c r="X129" s="90" t="s">
        <v>178</v>
      </c>
      <c r="Y129" s="90"/>
    </row>
    <row r="130" spans="1:25" ht="105.6" x14ac:dyDescent="0.3">
      <c r="A130" s="90" t="s">
        <v>582</v>
      </c>
      <c r="B130" s="174">
        <v>5210</v>
      </c>
      <c r="C130" s="90" t="s">
        <v>679</v>
      </c>
      <c r="D130" s="90" t="s">
        <v>178</v>
      </c>
      <c r="E130" s="90" t="s">
        <v>682</v>
      </c>
      <c r="F130" s="90" t="s">
        <v>608</v>
      </c>
      <c r="G130" s="149" t="s">
        <v>926</v>
      </c>
      <c r="H130" s="90" t="s">
        <v>107</v>
      </c>
      <c r="I130" s="90" t="s">
        <v>2</v>
      </c>
      <c r="J130" s="61" t="s">
        <v>798</v>
      </c>
      <c r="K130" s="102" t="s">
        <v>798</v>
      </c>
      <c r="L130" s="90" t="s">
        <v>178</v>
      </c>
      <c r="M130" s="90" t="s">
        <v>178</v>
      </c>
      <c r="N130" s="98" t="s">
        <v>763</v>
      </c>
      <c r="O130" s="90" t="s">
        <v>178</v>
      </c>
      <c r="P130" s="61">
        <v>0</v>
      </c>
      <c r="Q130" s="90" t="s">
        <v>178</v>
      </c>
      <c r="R130" s="90" t="s">
        <v>679</v>
      </c>
      <c r="S130" s="149" t="s">
        <v>178</v>
      </c>
      <c r="T130" s="90" t="s">
        <v>178</v>
      </c>
      <c r="U130" s="117" t="s">
        <v>178</v>
      </c>
      <c r="V130" s="61">
        <v>26.68239677</v>
      </c>
      <c r="W130" s="61">
        <v>-81.344608140000005</v>
      </c>
      <c r="X130" s="90" t="s">
        <v>178</v>
      </c>
      <c r="Y130" s="90"/>
    </row>
    <row r="131" spans="1:25" ht="171.6" x14ac:dyDescent="0.3">
      <c r="A131" s="90" t="s">
        <v>582</v>
      </c>
      <c r="B131" s="174">
        <v>5211</v>
      </c>
      <c r="C131" s="90" t="s">
        <v>679</v>
      </c>
      <c r="D131" s="90" t="s">
        <v>178</v>
      </c>
      <c r="E131" s="90" t="s">
        <v>683</v>
      </c>
      <c r="F131" s="90" t="s">
        <v>610</v>
      </c>
      <c r="G131" s="90" t="s">
        <v>611</v>
      </c>
      <c r="H131" s="90" t="s">
        <v>492</v>
      </c>
      <c r="I131" s="90" t="s">
        <v>118</v>
      </c>
      <c r="J131" s="61" t="s">
        <v>950</v>
      </c>
      <c r="K131" s="90" t="s">
        <v>114</v>
      </c>
      <c r="L131" s="90" t="s">
        <v>178</v>
      </c>
      <c r="M131" s="90" t="s">
        <v>178</v>
      </c>
      <c r="N131" s="90" t="s">
        <v>763</v>
      </c>
      <c r="O131" s="90" t="s">
        <v>178</v>
      </c>
      <c r="P131" s="61">
        <v>5000</v>
      </c>
      <c r="Q131" s="90" t="s">
        <v>178</v>
      </c>
      <c r="R131" s="90" t="s">
        <v>679</v>
      </c>
      <c r="S131" s="61" t="s">
        <v>991</v>
      </c>
      <c r="T131" s="90" t="s">
        <v>178</v>
      </c>
      <c r="U131" s="117" t="s">
        <v>178</v>
      </c>
      <c r="V131" s="90">
        <v>26.68239677</v>
      </c>
      <c r="W131" s="90">
        <v>-81.344608140000005</v>
      </c>
      <c r="X131" s="90" t="s">
        <v>178</v>
      </c>
      <c r="Y131" s="90"/>
    </row>
    <row r="132" spans="1:25" ht="92.4" x14ac:dyDescent="0.3">
      <c r="A132" s="90" t="s">
        <v>582</v>
      </c>
      <c r="B132" s="174">
        <v>5212</v>
      </c>
      <c r="C132" s="90" t="s">
        <v>679</v>
      </c>
      <c r="D132" s="90" t="s">
        <v>178</v>
      </c>
      <c r="E132" s="90" t="s">
        <v>684</v>
      </c>
      <c r="F132" s="90" t="s">
        <v>613</v>
      </c>
      <c r="G132" s="90" t="s">
        <v>614</v>
      </c>
      <c r="H132" s="90" t="s">
        <v>106</v>
      </c>
      <c r="I132" s="90" t="s">
        <v>1</v>
      </c>
      <c r="J132" s="61" t="s">
        <v>950</v>
      </c>
      <c r="K132" s="90" t="s">
        <v>178</v>
      </c>
      <c r="L132" s="90" t="s">
        <v>178</v>
      </c>
      <c r="M132" s="90" t="s">
        <v>178</v>
      </c>
      <c r="N132" s="90" t="s">
        <v>763</v>
      </c>
      <c r="O132" s="90" t="s">
        <v>178</v>
      </c>
      <c r="P132" s="61">
        <v>5000</v>
      </c>
      <c r="Q132" s="90" t="s">
        <v>178</v>
      </c>
      <c r="R132" s="90" t="s">
        <v>679</v>
      </c>
      <c r="S132" s="61" t="s">
        <v>991</v>
      </c>
      <c r="T132" s="90" t="s">
        <v>178</v>
      </c>
      <c r="U132" s="117" t="s">
        <v>178</v>
      </c>
      <c r="V132" s="61">
        <v>26.699728</v>
      </c>
      <c r="W132" s="61">
        <v>-81.333053000000007</v>
      </c>
      <c r="X132" s="90" t="s">
        <v>178</v>
      </c>
      <c r="Y132" s="90"/>
    </row>
    <row r="133" spans="1:25" ht="105.6" x14ac:dyDescent="0.3">
      <c r="A133" s="90" t="s">
        <v>582</v>
      </c>
      <c r="B133" s="174">
        <v>5213</v>
      </c>
      <c r="C133" s="90" t="s">
        <v>685</v>
      </c>
      <c r="D133" s="90" t="s">
        <v>722</v>
      </c>
      <c r="E133" s="90" t="s">
        <v>686</v>
      </c>
      <c r="F133" s="90" t="s">
        <v>602</v>
      </c>
      <c r="G133" s="90" t="s">
        <v>603</v>
      </c>
      <c r="H133" s="90" t="s">
        <v>12</v>
      </c>
      <c r="I133" s="90" t="s">
        <v>118</v>
      </c>
      <c r="J133" s="61" t="s">
        <v>798</v>
      </c>
      <c r="K133" s="90" t="s">
        <v>178</v>
      </c>
      <c r="L133" s="90" t="s">
        <v>178</v>
      </c>
      <c r="M133" s="90" t="s">
        <v>178</v>
      </c>
      <c r="N133" s="90" t="s">
        <v>762</v>
      </c>
      <c r="O133" s="90" t="s">
        <v>178</v>
      </c>
      <c r="P133" s="61">
        <v>500</v>
      </c>
      <c r="Q133" s="90" t="s">
        <v>178</v>
      </c>
      <c r="R133" s="90" t="s">
        <v>685</v>
      </c>
      <c r="S133" s="61" t="s">
        <v>974</v>
      </c>
      <c r="T133" s="90" t="s">
        <v>178</v>
      </c>
      <c r="U133" s="117" t="s">
        <v>178</v>
      </c>
      <c r="V133" s="61">
        <v>26.733741999999999</v>
      </c>
      <c r="W133" s="61" t="s">
        <v>857</v>
      </c>
      <c r="X133" s="90" t="s">
        <v>178</v>
      </c>
      <c r="Y133" s="90"/>
    </row>
    <row r="134" spans="1:25" ht="132" x14ac:dyDescent="0.3">
      <c r="A134" s="90" t="s">
        <v>582</v>
      </c>
      <c r="B134" s="174">
        <v>5214</v>
      </c>
      <c r="C134" s="90" t="s">
        <v>685</v>
      </c>
      <c r="D134" s="90" t="s">
        <v>96</v>
      </c>
      <c r="E134" s="90" t="s">
        <v>687</v>
      </c>
      <c r="F134" s="90" t="s">
        <v>605</v>
      </c>
      <c r="G134" s="90" t="s">
        <v>606</v>
      </c>
      <c r="H134" s="90" t="s">
        <v>444</v>
      </c>
      <c r="I134" s="90" t="s">
        <v>118</v>
      </c>
      <c r="J134" s="61" t="s">
        <v>798</v>
      </c>
      <c r="K134" s="90" t="s">
        <v>178</v>
      </c>
      <c r="L134" s="90" t="s">
        <v>178</v>
      </c>
      <c r="M134" s="90" t="s">
        <v>178</v>
      </c>
      <c r="N134" s="90" t="s">
        <v>762</v>
      </c>
      <c r="O134" s="90" t="s">
        <v>178</v>
      </c>
      <c r="P134" s="61">
        <v>1000</v>
      </c>
      <c r="Q134" s="90" t="s">
        <v>178</v>
      </c>
      <c r="R134" s="90" t="s">
        <v>685</v>
      </c>
      <c r="S134" s="61" t="s">
        <v>975</v>
      </c>
      <c r="T134" s="90" t="s">
        <v>178</v>
      </c>
      <c r="U134" s="117" t="s">
        <v>178</v>
      </c>
      <c r="V134" s="61">
        <v>26.733741999999999</v>
      </c>
      <c r="W134" s="61" t="s">
        <v>857</v>
      </c>
      <c r="X134" s="90" t="s">
        <v>178</v>
      </c>
      <c r="Y134" s="90"/>
    </row>
    <row r="135" spans="1:25" ht="105.6" x14ac:dyDescent="0.3">
      <c r="A135" s="90" t="s">
        <v>582</v>
      </c>
      <c r="B135" s="174">
        <v>5215</v>
      </c>
      <c r="C135" s="90" t="s">
        <v>685</v>
      </c>
      <c r="D135" s="90" t="s">
        <v>178</v>
      </c>
      <c r="E135" s="90" t="s">
        <v>688</v>
      </c>
      <c r="F135" s="90" t="s">
        <v>608</v>
      </c>
      <c r="G135" s="149" t="s">
        <v>926</v>
      </c>
      <c r="H135" s="90" t="s">
        <v>107</v>
      </c>
      <c r="I135" s="90" t="s">
        <v>2</v>
      </c>
      <c r="J135" s="61" t="s">
        <v>798</v>
      </c>
      <c r="K135" s="102" t="s">
        <v>798</v>
      </c>
      <c r="L135" s="90" t="s">
        <v>178</v>
      </c>
      <c r="M135" s="90" t="s">
        <v>178</v>
      </c>
      <c r="N135" s="90" t="s">
        <v>762</v>
      </c>
      <c r="O135" s="90" t="s">
        <v>178</v>
      </c>
      <c r="P135" s="61">
        <v>0</v>
      </c>
      <c r="Q135" s="90" t="s">
        <v>178</v>
      </c>
      <c r="R135" s="90" t="s">
        <v>685</v>
      </c>
      <c r="S135" s="61" t="s">
        <v>178</v>
      </c>
      <c r="T135" s="90" t="s">
        <v>178</v>
      </c>
      <c r="U135" s="117" t="s">
        <v>178</v>
      </c>
      <c r="V135" s="61">
        <v>26.738786000000001</v>
      </c>
      <c r="W135" s="61" t="s">
        <v>858</v>
      </c>
      <c r="X135" s="90" t="s">
        <v>178</v>
      </c>
      <c r="Y135" s="90"/>
    </row>
    <row r="136" spans="1:25" ht="145.19999999999999" x14ac:dyDescent="0.3">
      <c r="A136" s="90" t="s">
        <v>582</v>
      </c>
      <c r="B136" s="174">
        <v>5216</v>
      </c>
      <c r="C136" s="90" t="s">
        <v>685</v>
      </c>
      <c r="D136" s="90" t="s">
        <v>178</v>
      </c>
      <c r="E136" s="90" t="s">
        <v>689</v>
      </c>
      <c r="F136" s="90" t="s">
        <v>666</v>
      </c>
      <c r="G136" s="90" t="s">
        <v>667</v>
      </c>
      <c r="H136" s="90" t="s">
        <v>106</v>
      </c>
      <c r="I136" s="90" t="s">
        <v>118</v>
      </c>
      <c r="J136" s="61" t="s">
        <v>950</v>
      </c>
      <c r="K136" s="90" t="s">
        <v>114</v>
      </c>
      <c r="L136" s="90" t="s">
        <v>178</v>
      </c>
      <c r="M136" s="90" t="s">
        <v>178</v>
      </c>
      <c r="N136" s="90" t="s">
        <v>762</v>
      </c>
      <c r="O136" s="90" t="s">
        <v>178</v>
      </c>
      <c r="P136" s="61">
        <v>3500</v>
      </c>
      <c r="Q136" s="90" t="s">
        <v>178</v>
      </c>
      <c r="R136" s="90" t="s">
        <v>685</v>
      </c>
      <c r="S136" s="61" t="s">
        <v>992</v>
      </c>
      <c r="T136" s="90" t="s">
        <v>178</v>
      </c>
      <c r="U136" s="117" t="s">
        <v>178</v>
      </c>
      <c r="V136" s="61">
        <v>26.738786000000001</v>
      </c>
      <c r="W136" s="61" t="s">
        <v>858</v>
      </c>
      <c r="X136" s="90" t="s">
        <v>178</v>
      </c>
      <c r="Y136" s="90"/>
    </row>
    <row r="137" spans="1:25" ht="92.4" x14ac:dyDescent="0.3">
      <c r="A137" s="90" t="s">
        <v>582</v>
      </c>
      <c r="B137" s="174">
        <v>5217</v>
      </c>
      <c r="C137" s="90" t="s">
        <v>685</v>
      </c>
      <c r="D137" s="90" t="s">
        <v>178</v>
      </c>
      <c r="E137" s="90" t="s">
        <v>690</v>
      </c>
      <c r="F137" s="90" t="s">
        <v>613</v>
      </c>
      <c r="G137" s="90" t="s">
        <v>614</v>
      </c>
      <c r="H137" s="90" t="s">
        <v>106</v>
      </c>
      <c r="I137" s="90" t="s">
        <v>1</v>
      </c>
      <c r="J137" s="61" t="s">
        <v>950</v>
      </c>
      <c r="K137" s="90" t="s">
        <v>178</v>
      </c>
      <c r="L137" s="90" t="s">
        <v>178</v>
      </c>
      <c r="M137" s="90" t="s">
        <v>178</v>
      </c>
      <c r="N137" s="90" t="s">
        <v>762</v>
      </c>
      <c r="O137" s="90" t="s">
        <v>178</v>
      </c>
      <c r="P137" s="61">
        <v>2000</v>
      </c>
      <c r="Q137" s="90" t="s">
        <v>178</v>
      </c>
      <c r="R137" s="90" t="s">
        <v>685</v>
      </c>
      <c r="S137" s="61" t="s">
        <v>993</v>
      </c>
      <c r="T137" s="90" t="s">
        <v>178</v>
      </c>
      <c r="U137" s="117" t="s">
        <v>178</v>
      </c>
      <c r="V137" s="61">
        <v>26.758478</v>
      </c>
      <c r="W137" s="61">
        <v>-81.151114000000007</v>
      </c>
      <c r="X137" s="90" t="s">
        <v>178</v>
      </c>
      <c r="Y137" s="90"/>
    </row>
    <row r="138" spans="1:25" ht="79.2" x14ac:dyDescent="0.3">
      <c r="A138" s="90" t="s">
        <v>582</v>
      </c>
      <c r="B138" s="174">
        <v>2382</v>
      </c>
      <c r="C138" s="90" t="s">
        <v>101</v>
      </c>
      <c r="D138" s="90" t="s">
        <v>399</v>
      </c>
      <c r="E138" s="90" t="s">
        <v>534</v>
      </c>
      <c r="F138" s="90" t="s">
        <v>544</v>
      </c>
      <c r="G138" s="149" t="s">
        <v>932</v>
      </c>
      <c r="H138" s="90" t="s">
        <v>12</v>
      </c>
      <c r="I138" s="90" t="s">
        <v>1</v>
      </c>
      <c r="J138" s="90" t="s">
        <v>399</v>
      </c>
      <c r="K138" s="90" t="s">
        <v>178</v>
      </c>
      <c r="L138" s="90">
        <v>1622.5190861155108</v>
      </c>
      <c r="M138" s="90">
        <v>276.47363964071855</v>
      </c>
      <c r="N138" s="90" t="s">
        <v>764</v>
      </c>
      <c r="O138" s="90" t="s">
        <v>178</v>
      </c>
      <c r="P138" s="168" t="s">
        <v>399</v>
      </c>
      <c r="Q138" s="90" t="s">
        <v>399</v>
      </c>
      <c r="R138" s="90" t="s">
        <v>399</v>
      </c>
      <c r="S138" s="90" t="s">
        <v>399</v>
      </c>
      <c r="T138" s="90" t="s">
        <v>178</v>
      </c>
      <c r="U138" s="117" t="s">
        <v>399</v>
      </c>
      <c r="V138" s="90" t="s">
        <v>178</v>
      </c>
      <c r="W138" s="90" t="s">
        <v>178</v>
      </c>
      <c r="X138" s="90" t="s">
        <v>178</v>
      </c>
      <c r="Y138" s="90"/>
    </row>
    <row r="139" spans="1:25" ht="118.8" x14ac:dyDescent="0.3">
      <c r="A139" s="90" t="s">
        <v>582</v>
      </c>
      <c r="B139" s="174">
        <v>2383</v>
      </c>
      <c r="C139" s="90" t="s">
        <v>101</v>
      </c>
      <c r="D139" s="90" t="s">
        <v>399</v>
      </c>
      <c r="E139" s="90" t="s">
        <v>535</v>
      </c>
      <c r="F139" s="90" t="s">
        <v>15</v>
      </c>
      <c r="G139" s="90" t="s">
        <v>500</v>
      </c>
      <c r="H139" s="90" t="s">
        <v>106</v>
      </c>
      <c r="I139" s="90" t="s">
        <v>2</v>
      </c>
      <c r="J139" s="90" t="s">
        <v>399</v>
      </c>
      <c r="K139" s="90" t="s">
        <v>76</v>
      </c>
      <c r="L139" s="90">
        <v>9377.908998913872</v>
      </c>
      <c r="M139" s="90">
        <v>1464.9327200455059</v>
      </c>
      <c r="N139" s="90" t="s">
        <v>764</v>
      </c>
      <c r="O139" s="90">
        <v>32555</v>
      </c>
      <c r="P139" s="90" t="s">
        <v>399</v>
      </c>
      <c r="Q139" s="90" t="s">
        <v>399</v>
      </c>
      <c r="R139" s="90" t="s">
        <v>399</v>
      </c>
      <c r="S139" s="90" t="s">
        <v>399</v>
      </c>
      <c r="T139" s="90" t="s">
        <v>178</v>
      </c>
      <c r="U139" s="117" t="s">
        <v>399</v>
      </c>
      <c r="V139" s="90" t="s">
        <v>399</v>
      </c>
      <c r="W139" s="90" t="s">
        <v>399</v>
      </c>
      <c r="X139" s="90" t="s">
        <v>178</v>
      </c>
      <c r="Y139" s="90"/>
    </row>
    <row r="140" spans="1:25" ht="158.4" x14ac:dyDescent="0.3">
      <c r="A140" s="90" t="s">
        <v>582</v>
      </c>
      <c r="B140" s="174">
        <v>2385</v>
      </c>
      <c r="C140" s="90" t="s">
        <v>101</v>
      </c>
      <c r="D140" s="90" t="s">
        <v>399</v>
      </c>
      <c r="E140" s="90" t="s">
        <v>536</v>
      </c>
      <c r="F140" s="90" t="s">
        <v>25</v>
      </c>
      <c r="G140" s="90" t="s">
        <v>359</v>
      </c>
      <c r="H140" s="90" t="s">
        <v>106</v>
      </c>
      <c r="I140" s="90" t="s">
        <v>2</v>
      </c>
      <c r="J140" s="90" t="s">
        <v>399</v>
      </c>
      <c r="K140" s="90" t="s">
        <v>76</v>
      </c>
      <c r="L140" s="90">
        <v>8909.0135489681779</v>
      </c>
      <c r="M140" s="90">
        <v>1391.6860840432307</v>
      </c>
      <c r="N140" s="90" t="s">
        <v>764</v>
      </c>
      <c r="O140" s="90">
        <v>32555</v>
      </c>
      <c r="P140" s="90" t="s">
        <v>399</v>
      </c>
      <c r="Q140" s="90" t="s">
        <v>399</v>
      </c>
      <c r="R140" s="90" t="s">
        <v>399</v>
      </c>
      <c r="S140" s="90" t="s">
        <v>399</v>
      </c>
      <c r="T140" s="90" t="s">
        <v>178</v>
      </c>
      <c r="U140" s="117" t="s">
        <v>399</v>
      </c>
      <c r="V140" s="90" t="s">
        <v>399</v>
      </c>
      <c r="W140" s="90" t="s">
        <v>399</v>
      </c>
      <c r="X140" s="90" t="s">
        <v>178</v>
      </c>
      <c r="Y140" s="90"/>
    </row>
    <row r="141" spans="1:25" ht="118.8" x14ac:dyDescent="0.3">
      <c r="A141" s="90" t="s">
        <v>582</v>
      </c>
      <c r="B141" s="174">
        <v>2387</v>
      </c>
      <c r="C141" s="90" t="s">
        <v>101</v>
      </c>
      <c r="D141" s="90" t="s">
        <v>399</v>
      </c>
      <c r="E141" s="90" t="s">
        <v>537</v>
      </c>
      <c r="F141" s="90" t="s">
        <v>255</v>
      </c>
      <c r="G141" s="90" t="s">
        <v>98</v>
      </c>
      <c r="H141" s="90" t="s">
        <v>106</v>
      </c>
      <c r="I141" s="90" t="s">
        <v>2</v>
      </c>
      <c r="J141" s="90" t="s">
        <v>399</v>
      </c>
      <c r="K141" s="90" t="s">
        <v>76</v>
      </c>
      <c r="L141" s="90" t="s">
        <v>114</v>
      </c>
      <c r="M141" s="90" t="s">
        <v>114</v>
      </c>
      <c r="N141" s="90" t="s">
        <v>103</v>
      </c>
      <c r="O141" s="90">
        <v>32555</v>
      </c>
      <c r="P141" s="90" t="s">
        <v>399</v>
      </c>
      <c r="Q141" s="90" t="s">
        <v>399</v>
      </c>
      <c r="R141" s="90" t="s">
        <v>399</v>
      </c>
      <c r="S141" s="90" t="s">
        <v>399</v>
      </c>
      <c r="T141" s="90" t="s">
        <v>178</v>
      </c>
      <c r="U141" s="117" t="s">
        <v>399</v>
      </c>
      <c r="V141" s="90">
        <v>26.65282629</v>
      </c>
      <c r="W141" s="90">
        <v>-81.692856840000005</v>
      </c>
      <c r="X141" s="90" t="s">
        <v>178</v>
      </c>
      <c r="Y141" s="90"/>
    </row>
    <row r="142" spans="1:25" ht="52.8" x14ac:dyDescent="0.3">
      <c r="A142" s="90" t="s">
        <v>582</v>
      </c>
      <c r="B142" s="174">
        <v>2354</v>
      </c>
      <c r="C142" s="90" t="s">
        <v>101</v>
      </c>
      <c r="D142" s="90" t="s">
        <v>399</v>
      </c>
      <c r="E142" s="90" t="s">
        <v>531</v>
      </c>
      <c r="F142" s="90" t="s">
        <v>26</v>
      </c>
      <c r="G142" s="90" t="s">
        <v>131</v>
      </c>
      <c r="H142" s="90" t="s">
        <v>116</v>
      </c>
      <c r="I142" s="90" t="s">
        <v>2</v>
      </c>
      <c r="J142" s="90" t="s">
        <v>399</v>
      </c>
      <c r="K142" s="90" t="s">
        <v>76</v>
      </c>
      <c r="L142" s="90">
        <v>7942.2942934720131</v>
      </c>
      <c r="M142" s="90">
        <v>1715.8112762205844</v>
      </c>
      <c r="N142" s="90" t="s">
        <v>103</v>
      </c>
      <c r="O142" s="90">
        <v>5.0199999999999996</v>
      </c>
      <c r="P142" s="90" t="s">
        <v>399</v>
      </c>
      <c r="Q142" s="90" t="s">
        <v>399</v>
      </c>
      <c r="R142" s="90" t="s">
        <v>399</v>
      </c>
      <c r="S142" s="90" t="s">
        <v>399</v>
      </c>
      <c r="T142" s="90" t="s">
        <v>178</v>
      </c>
      <c r="U142" s="117" t="s">
        <v>399</v>
      </c>
      <c r="V142" s="90">
        <v>26.617427930000002</v>
      </c>
      <c r="W142" s="90">
        <v>-81.695783120000002</v>
      </c>
      <c r="X142" s="90" t="s">
        <v>178</v>
      </c>
      <c r="Y142" s="90"/>
    </row>
    <row r="143" spans="1:25" ht="39.6" x14ac:dyDescent="0.3">
      <c r="A143" s="90" t="s">
        <v>582</v>
      </c>
      <c r="B143" s="174">
        <v>2352</v>
      </c>
      <c r="C143" s="90" t="s">
        <v>101</v>
      </c>
      <c r="D143" s="90" t="s">
        <v>399</v>
      </c>
      <c r="E143" s="90" t="s">
        <v>530</v>
      </c>
      <c r="F143" s="90" t="s">
        <v>27</v>
      </c>
      <c r="G143" s="90" t="s">
        <v>125</v>
      </c>
      <c r="H143" s="90" t="s">
        <v>108</v>
      </c>
      <c r="I143" s="90" t="s">
        <v>2</v>
      </c>
      <c r="J143" s="90" t="s">
        <v>399</v>
      </c>
      <c r="K143" s="90" t="s">
        <v>873</v>
      </c>
      <c r="L143" s="90">
        <v>819.06950398826666</v>
      </c>
      <c r="M143" s="90">
        <v>127.17501865455264</v>
      </c>
      <c r="N143" s="90" t="s">
        <v>103</v>
      </c>
      <c r="O143" s="90">
        <v>32555</v>
      </c>
      <c r="P143" s="168" t="s">
        <v>399</v>
      </c>
      <c r="Q143" s="90" t="s">
        <v>399</v>
      </c>
      <c r="R143" s="90" t="s">
        <v>399</v>
      </c>
      <c r="S143" s="90" t="s">
        <v>399</v>
      </c>
      <c r="T143" s="90" t="s">
        <v>178</v>
      </c>
      <c r="U143" s="117" t="s">
        <v>399</v>
      </c>
      <c r="V143" s="90">
        <v>26.56256346</v>
      </c>
      <c r="W143" s="90">
        <v>-81.647469569999998</v>
      </c>
      <c r="X143" s="90" t="s">
        <v>178</v>
      </c>
      <c r="Y143" s="90"/>
    </row>
    <row r="144" spans="1:25" ht="145.19999999999999" x14ac:dyDescent="0.3">
      <c r="A144" s="90" t="s">
        <v>582</v>
      </c>
      <c r="B144" s="174">
        <v>2377</v>
      </c>
      <c r="C144" s="90" t="s">
        <v>101</v>
      </c>
      <c r="D144" s="90" t="s">
        <v>360</v>
      </c>
      <c r="E144" s="90" t="s">
        <v>533</v>
      </c>
      <c r="F144" s="90" t="s">
        <v>291</v>
      </c>
      <c r="G144" s="90" t="s">
        <v>111</v>
      </c>
      <c r="H144" s="95" t="s">
        <v>106</v>
      </c>
      <c r="I144" s="90" t="s">
        <v>2</v>
      </c>
      <c r="J144" s="90" t="s">
        <v>955</v>
      </c>
      <c r="K144" s="90" t="s">
        <v>794</v>
      </c>
      <c r="L144" s="90">
        <v>5550.986471295053</v>
      </c>
      <c r="M144" s="90">
        <v>935.11069335242212</v>
      </c>
      <c r="N144" s="90" t="s">
        <v>103</v>
      </c>
      <c r="O144" s="90">
        <v>5760</v>
      </c>
      <c r="P144" s="154">
        <v>2532311.3199999998</v>
      </c>
      <c r="Q144" s="90" t="s">
        <v>399</v>
      </c>
      <c r="R144" s="90" t="s">
        <v>360</v>
      </c>
      <c r="S144" s="90" t="s">
        <v>513</v>
      </c>
      <c r="T144" s="90" t="s">
        <v>100</v>
      </c>
      <c r="U144" s="117" t="s">
        <v>178</v>
      </c>
      <c r="V144" s="90">
        <v>26.590993109999999</v>
      </c>
      <c r="W144" s="90">
        <v>-81.685941060000005</v>
      </c>
      <c r="X144" s="90" t="s">
        <v>178</v>
      </c>
      <c r="Y144" s="90"/>
    </row>
    <row r="145" spans="1:25" ht="158.4" x14ac:dyDescent="0.3">
      <c r="A145" s="90" t="s">
        <v>582</v>
      </c>
      <c r="B145" s="174">
        <v>2344</v>
      </c>
      <c r="C145" s="90" t="s">
        <v>101</v>
      </c>
      <c r="D145" s="90" t="s">
        <v>178</v>
      </c>
      <c r="E145" s="90" t="s">
        <v>526</v>
      </c>
      <c r="F145" s="90" t="s">
        <v>294</v>
      </c>
      <c r="G145" s="90" t="s">
        <v>84</v>
      </c>
      <c r="H145" s="90" t="s">
        <v>106</v>
      </c>
      <c r="I145" s="90" t="s">
        <v>2</v>
      </c>
      <c r="J145" s="90" t="s">
        <v>955</v>
      </c>
      <c r="K145" s="90" t="s">
        <v>794</v>
      </c>
      <c r="L145" s="90">
        <v>415.70182472888177</v>
      </c>
      <c r="M145" s="90">
        <v>61.421911762441724</v>
      </c>
      <c r="N145" s="90" t="s">
        <v>103</v>
      </c>
      <c r="O145" s="90">
        <v>640</v>
      </c>
      <c r="P145" s="154">
        <v>400000</v>
      </c>
      <c r="Q145" s="154">
        <v>15000</v>
      </c>
      <c r="R145" s="90" t="s">
        <v>503</v>
      </c>
      <c r="S145" s="90" t="s">
        <v>727</v>
      </c>
      <c r="T145" s="90" t="s">
        <v>178</v>
      </c>
      <c r="U145" s="117" t="s">
        <v>178</v>
      </c>
      <c r="V145" s="102">
        <v>26.592390000000002</v>
      </c>
      <c r="W145" s="102">
        <v>-81.617940000000004</v>
      </c>
      <c r="X145" s="90" t="s">
        <v>178</v>
      </c>
      <c r="Y145" s="90"/>
    </row>
    <row r="146" spans="1:25" ht="79.2" x14ac:dyDescent="0.3">
      <c r="A146" s="90" t="s">
        <v>582</v>
      </c>
      <c r="B146" s="174">
        <v>2363</v>
      </c>
      <c r="C146" s="90" t="s">
        <v>101</v>
      </c>
      <c r="D146" s="90" t="s">
        <v>183</v>
      </c>
      <c r="E146" s="90" t="s">
        <v>532</v>
      </c>
      <c r="F146" s="90" t="s">
        <v>179</v>
      </c>
      <c r="G146" s="90" t="s">
        <v>125</v>
      </c>
      <c r="H146" s="90" t="s">
        <v>108</v>
      </c>
      <c r="I146" s="90" t="s">
        <v>322</v>
      </c>
      <c r="J146" s="90" t="s">
        <v>794</v>
      </c>
      <c r="K146" s="90" t="s">
        <v>860</v>
      </c>
      <c r="L146" s="90">
        <v>738.80069259741651</v>
      </c>
      <c r="M146" s="90">
        <v>108.86181596829707</v>
      </c>
      <c r="N146" s="90" t="s">
        <v>103</v>
      </c>
      <c r="O146" s="90">
        <v>32555</v>
      </c>
      <c r="P146" s="154">
        <v>500000</v>
      </c>
      <c r="Q146" s="154" t="s">
        <v>114</v>
      </c>
      <c r="R146" s="90" t="s">
        <v>181</v>
      </c>
      <c r="S146" s="90" t="s">
        <v>514</v>
      </c>
      <c r="T146" s="90" t="s">
        <v>178</v>
      </c>
      <c r="U146" s="117" t="s">
        <v>399</v>
      </c>
      <c r="V146" s="90">
        <v>26.56049063</v>
      </c>
      <c r="W146" s="90">
        <v>-81.637770700000004</v>
      </c>
      <c r="X146" s="90" t="s">
        <v>178</v>
      </c>
      <c r="Y146" s="90"/>
    </row>
    <row r="147" spans="1:25" ht="118.8" x14ac:dyDescent="0.3">
      <c r="A147" s="90" t="s">
        <v>582</v>
      </c>
      <c r="B147" s="174">
        <v>2348</v>
      </c>
      <c r="C147" s="90" t="s">
        <v>101</v>
      </c>
      <c r="D147" s="90" t="s">
        <v>184</v>
      </c>
      <c r="E147" s="90" t="s">
        <v>529</v>
      </c>
      <c r="F147" s="90" t="s">
        <v>42</v>
      </c>
      <c r="G147" s="90" t="s">
        <v>131</v>
      </c>
      <c r="H147" s="90" t="s">
        <v>116</v>
      </c>
      <c r="I147" s="90" t="s">
        <v>322</v>
      </c>
      <c r="J147" s="90" t="s">
        <v>794</v>
      </c>
      <c r="K147" s="90" t="s">
        <v>798</v>
      </c>
      <c r="L147" s="90" t="s">
        <v>114</v>
      </c>
      <c r="M147" s="90" t="s">
        <v>114</v>
      </c>
      <c r="N147" s="90" t="s">
        <v>103</v>
      </c>
      <c r="O147" s="90">
        <v>32555</v>
      </c>
      <c r="P147" s="154">
        <v>12000000</v>
      </c>
      <c r="Q147" s="154" t="s">
        <v>114</v>
      </c>
      <c r="R147" s="90" t="s">
        <v>182</v>
      </c>
      <c r="S147" s="90" t="s">
        <v>515</v>
      </c>
      <c r="T147" s="90" t="s">
        <v>178</v>
      </c>
      <c r="U147" s="117" t="s">
        <v>399</v>
      </c>
      <c r="V147" s="90">
        <v>26.648128549999999</v>
      </c>
      <c r="W147" s="90">
        <v>-81.702494020000003</v>
      </c>
      <c r="X147" s="90" t="s">
        <v>178</v>
      </c>
      <c r="Y147" s="90"/>
    </row>
    <row r="148" spans="1:25" ht="52.8" x14ac:dyDescent="0.3">
      <c r="A148" s="90" t="s">
        <v>582</v>
      </c>
      <c r="B148" s="174">
        <v>2347</v>
      </c>
      <c r="C148" s="90" t="s">
        <v>101</v>
      </c>
      <c r="D148" s="90" t="s">
        <v>512</v>
      </c>
      <c r="E148" s="90" t="s">
        <v>528</v>
      </c>
      <c r="F148" s="90" t="s">
        <v>328</v>
      </c>
      <c r="G148" s="90" t="s">
        <v>346</v>
      </c>
      <c r="H148" s="90" t="s">
        <v>106</v>
      </c>
      <c r="I148" s="90" t="s">
        <v>322</v>
      </c>
      <c r="J148" s="90" t="s">
        <v>860</v>
      </c>
      <c r="K148" s="90" t="s">
        <v>949</v>
      </c>
      <c r="L148" s="154">
        <v>75.722903126017727</v>
      </c>
      <c r="M148" s="154">
        <v>7.7905534450236535</v>
      </c>
      <c r="N148" s="90" t="s">
        <v>763</v>
      </c>
      <c r="O148" s="90">
        <v>1100</v>
      </c>
      <c r="P148" s="154">
        <v>675000</v>
      </c>
      <c r="Q148" s="154" t="s">
        <v>114</v>
      </c>
      <c r="R148" s="90" t="s">
        <v>361</v>
      </c>
      <c r="S148" s="90" t="s">
        <v>114</v>
      </c>
      <c r="T148" s="154" t="s">
        <v>114</v>
      </c>
      <c r="U148" s="117" t="s">
        <v>178</v>
      </c>
      <c r="V148" s="102" t="s">
        <v>399</v>
      </c>
      <c r="W148" s="102" t="s">
        <v>399</v>
      </c>
      <c r="X148" s="90" t="s">
        <v>178</v>
      </c>
      <c r="Y148" s="90"/>
    </row>
    <row r="149" spans="1:25" ht="171.6" x14ac:dyDescent="0.3">
      <c r="A149" s="90" t="s">
        <v>582</v>
      </c>
      <c r="B149" s="174">
        <v>2346</v>
      </c>
      <c r="C149" s="90" t="s">
        <v>101</v>
      </c>
      <c r="D149" s="90" t="s">
        <v>59</v>
      </c>
      <c r="E149" s="90" t="s">
        <v>527</v>
      </c>
      <c r="F149" s="90" t="s">
        <v>329</v>
      </c>
      <c r="G149" s="90" t="s">
        <v>347</v>
      </c>
      <c r="H149" s="90" t="s">
        <v>116</v>
      </c>
      <c r="I149" s="90" t="s">
        <v>322</v>
      </c>
      <c r="J149" s="90" t="s">
        <v>798</v>
      </c>
      <c r="K149" s="90" t="s">
        <v>950</v>
      </c>
      <c r="L149" s="154" t="s">
        <v>114</v>
      </c>
      <c r="M149" s="154" t="s">
        <v>114</v>
      </c>
      <c r="N149" s="90" t="s">
        <v>763</v>
      </c>
      <c r="O149" s="90">
        <v>4100</v>
      </c>
      <c r="P149" s="154">
        <v>5000000</v>
      </c>
      <c r="Q149" s="154" t="s">
        <v>114</v>
      </c>
      <c r="R149" s="90" t="s">
        <v>362</v>
      </c>
      <c r="S149" s="90" t="s">
        <v>114</v>
      </c>
      <c r="T149" s="154" t="s">
        <v>114</v>
      </c>
      <c r="U149" s="117" t="s">
        <v>178</v>
      </c>
      <c r="V149" s="90">
        <v>26.571535619999999</v>
      </c>
      <c r="W149" s="90">
        <v>-81.565114050000005</v>
      </c>
      <c r="X149" s="90" t="s">
        <v>178</v>
      </c>
      <c r="Y149" s="90"/>
    </row>
    <row r="150" spans="1:25" ht="105.6" x14ac:dyDescent="0.3">
      <c r="A150" s="90" t="s">
        <v>582</v>
      </c>
      <c r="B150" s="174">
        <v>2282</v>
      </c>
      <c r="C150" s="90" t="s">
        <v>28</v>
      </c>
      <c r="D150" s="90" t="s">
        <v>178</v>
      </c>
      <c r="E150" s="90" t="s">
        <v>167</v>
      </c>
      <c r="F150" s="90" t="s">
        <v>29</v>
      </c>
      <c r="G150" s="90" t="s">
        <v>85</v>
      </c>
      <c r="H150" s="90" t="s">
        <v>473</v>
      </c>
      <c r="I150" s="90" t="s">
        <v>2</v>
      </c>
      <c r="J150" s="61" t="s">
        <v>757</v>
      </c>
      <c r="K150" s="102" t="s">
        <v>757</v>
      </c>
      <c r="L150" s="90">
        <v>66.05215954825394</v>
      </c>
      <c r="M150" s="90">
        <v>30.922124601592543</v>
      </c>
      <c r="N150" s="90" t="s">
        <v>103</v>
      </c>
      <c r="O150" s="90">
        <v>220</v>
      </c>
      <c r="P150" s="154">
        <v>3323506</v>
      </c>
      <c r="Q150" s="154">
        <v>11703</v>
      </c>
      <c r="R150" s="90" t="s">
        <v>336</v>
      </c>
      <c r="S150" s="90" t="s">
        <v>728</v>
      </c>
      <c r="T150" s="90" t="s">
        <v>178</v>
      </c>
      <c r="U150" s="61" t="s">
        <v>178</v>
      </c>
      <c r="V150" s="90">
        <v>26.710315000000001</v>
      </c>
      <c r="W150" s="90">
        <v>-81.933828000000005</v>
      </c>
      <c r="X150" s="90" t="s">
        <v>178</v>
      </c>
      <c r="Y150" s="90"/>
    </row>
    <row r="151" spans="1:25" ht="105.6" x14ac:dyDescent="0.3">
      <c r="A151" s="90" t="s">
        <v>582</v>
      </c>
      <c r="B151" s="174">
        <v>2293</v>
      </c>
      <c r="C151" s="90" t="s">
        <v>28</v>
      </c>
      <c r="D151" s="90" t="s">
        <v>178</v>
      </c>
      <c r="E151" s="90" t="s">
        <v>168</v>
      </c>
      <c r="F151" s="90" t="s">
        <v>30</v>
      </c>
      <c r="G151" s="90" t="s">
        <v>85</v>
      </c>
      <c r="H151" s="90" t="s">
        <v>473</v>
      </c>
      <c r="I151" s="90" t="s">
        <v>2</v>
      </c>
      <c r="J151" s="61" t="s">
        <v>757</v>
      </c>
      <c r="K151" s="102" t="s">
        <v>757</v>
      </c>
      <c r="L151" s="90">
        <v>46.555076842230449</v>
      </c>
      <c r="M151" s="90">
        <v>1.6464117536248359</v>
      </c>
      <c r="N151" s="90" t="s">
        <v>103</v>
      </c>
      <c r="O151" s="90">
        <v>50.7</v>
      </c>
      <c r="P151" s="154">
        <v>2500000</v>
      </c>
      <c r="Q151" s="154" t="s">
        <v>178</v>
      </c>
      <c r="R151" s="90" t="s">
        <v>336</v>
      </c>
      <c r="S151" s="90" t="s">
        <v>729</v>
      </c>
      <c r="T151" s="90" t="s">
        <v>178</v>
      </c>
      <c r="U151" s="61" t="s">
        <v>178</v>
      </c>
      <c r="V151" s="90">
        <v>26.662645000000001</v>
      </c>
      <c r="W151" s="90">
        <v>-81.824427999999997</v>
      </c>
      <c r="X151" s="90" t="s">
        <v>178</v>
      </c>
      <c r="Y151" s="90"/>
    </row>
    <row r="152" spans="1:25" ht="105.6" x14ac:dyDescent="0.3">
      <c r="A152" s="90" t="s">
        <v>582</v>
      </c>
      <c r="B152" s="174">
        <v>2284</v>
      </c>
      <c r="C152" s="90" t="s">
        <v>28</v>
      </c>
      <c r="D152" s="90" t="s">
        <v>183</v>
      </c>
      <c r="E152" s="90" t="s">
        <v>169</v>
      </c>
      <c r="F152" s="90" t="s">
        <v>31</v>
      </c>
      <c r="G152" s="90" t="s">
        <v>85</v>
      </c>
      <c r="H152" s="90" t="s">
        <v>473</v>
      </c>
      <c r="I152" s="90" t="s">
        <v>2</v>
      </c>
      <c r="J152" s="61" t="s">
        <v>757</v>
      </c>
      <c r="K152" s="102" t="s">
        <v>757</v>
      </c>
      <c r="L152" s="90">
        <v>1625.8593484607027</v>
      </c>
      <c r="M152" s="90">
        <v>58.864275999135259</v>
      </c>
      <c r="N152" s="90" t="s">
        <v>103</v>
      </c>
      <c r="O152" s="90">
        <v>1219</v>
      </c>
      <c r="P152" s="169">
        <v>71475196</v>
      </c>
      <c r="Q152" s="169">
        <v>149212</v>
      </c>
      <c r="R152" s="90" t="s">
        <v>382</v>
      </c>
      <c r="S152" s="90" t="s">
        <v>399</v>
      </c>
      <c r="T152" s="90" t="s">
        <v>178</v>
      </c>
      <c r="U152" s="61" t="s">
        <v>178</v>
      </c>
      <c r="V152" s="145" t="s">
        <v>875</v>
      </c>
      <c r="W152" s="145" t="s">
        <v>876</v>
      </c>
      <c r="X152" s="90" t="s">
        <v>178</v>
      </c>
      <c r="Y152" s="90"/>
    </row>
    <row r="153" spans="1:25" ht="118.8" x14ac:dyDescent="0.3">
      <c r="A153" s="90" t="s">
        <v>582</v>
      </c>
      <c r="B153" s="174">
        <v>2275</v>
      </c>
      <c r="C153" s="90" t="s">
        <v>28</v>
      </c>
      <c r="D153" s="90" t="s">
        <v>381</v>
      </c>
      <c r="E153" s="98" t="s">
        <v>170</v>
      </c>
      <c r="F153" s="98" t="s">
        <v>32</v>
      </c>
      <c r="G153" s="98" t="s">
        <v>85</v>
      </c>
      <c r="H153" s="90" t="s">
        <v>473</v>
      </c>
      <c r="I153" s="98" t="s">
        <v>2</v>
      </c>
      <c r="J153" s="61" t="s">
        <v>757</v>
      </c>
      <c r="K153" s="102" t="s">
        <v>757</v>
      </c>
      <c r="L153" s="90">
        <v>14714.028783389726</v>
      </c>
      <c r="M153" s="90">
        <v>495.26794306448346</v>
      </c>
      <c r="N153" s="151" t="s">
        <v>764</v>
      </c>
      <c r="O153" s="90">
        <v>1978.9</v>
      </c>
      <c r="P153" s="154">
        <v>41538620</v>
      </c>
      <c r="Q153" s="154">
        <v>639924</v>
      </c>
      <c r="R153" s="90" t="s">
        <v>383</v>
      </c>
      <c r="S153" s="90" t="s">
        <v>399</v>
      </c>
      <c r="T153" s="90" t="s">
        <v>178</v>
      </c>
      <c r="U153" s="61" t="s">
        <v>178</v>
      </c>
      <c r="V153" s="90">
        <v>26.754301999999999</v>
      </c>
      <c r="W153" s="90">
        <v>-81.655325000000005</v>
      </c>
      <c r="X153" s="90" t="s">
        <v>178</v>
      </c>
      <c r="Y153" s="98"/>
    </row>
    <row r="154" spans="1:25" ht="105.6" x14ac:dyDescent="0.3">
      <c r="A154" s="90" t="s">
        <v>582</v>
      </c>
      <c r="B154" s="174">
        <v>2286</v>
      </c>
      <c r="C154" s="90" t="s">
        <v>28</v>
      </c>
      <c r="D154" s="90" t="s">
        <v>178</v>
      </c>
      <c r="E154" s="90" t="s">
        <v>171</v>
      </c>
      <c r="F154" s="90" t="s">
        <v>33</v>
      </c>
      <c r="G154" s="90" t="s">
        <v>85</v>
      </c>
      <c r="H154" s="90" t="s">
        <v>473</v>
      </c>
      <c r="I154" s="90" t="s">
        <v>2</v>
      </c>
      <c r="J154" s="61" t="s">
        <v>757</v>
      </c>
      <c r="K154" s="102" t="s">
        <v>757</v>
      </c>
      <c r="L154" s="90">
        <v>1814.5154663232602</v>
      </c>
      <c r="M154" s="90">
        <v>68.357280409397674</v>
      </c>
      <c r="N154" s="90" t="s">
        <v>103</v>
      </c>
      <c r="O154" s="90">
        <v>575.5</v>
      </c>
      <c r="P154" s="154">
        <v>12584000</v>
      </c>
      <c r="Q154" s="154">
        <v>18708</v>
      </c>
      <c r="R154" s="90" t="s">
        <v>336</v>
      </c>
      <c r="S154" s="90" t="s">
        <v>730</v>
      </c>
      <c r="T154" s="90" t="s">
        <v>178</v>
      </c>
      <c r="U154" s="61" t="s">
        <v>178</v>
      </c>
      <c r="V154" s="90">
        <v>26.637291000000001</v>
      </c>
      <c r="W154" s="90">
        <v>-81.739155999999994</v>
      </c>
      <c r="X154" s="90" t="s">
        <v>178</v>
      </c>
      <c r="Y154" s="90"/>
    </row>
    <row r="155" spans="1:25" ht="105.6" x14ac:dyDescent="0.3">
      <c r="A155" s="90" t="s">
        <v>582</v>
      </c>
      <c r="B155" s="174">
        <v>2287</v>
      </c>
      <c r="C155" s="90" t="s">
        <v>28</v>
      </c>
      <c r="D155" s="90" t="s">
        <v>384</v>
      </c>
      <c r="E155" s="90" t="s">
        <v>172</v>
      </c>
      <c r="F155" s="90" t="s">
        <v>268</v>
      </c>
      <c r="G155" s="90" t="s">
        <v>85</v>
      </c>
      <c r="H155" s="90" t="s">
        <v>473</v>
      </c>
      <c r="I155" s="90" t="s">
        <v>2</v>
      </c>
      <c r="J155" s="61" t="s">
        <v>757</v>
      </c>
      <c r="K155" s="102" t="s">
        <v>757</v>
      </c>
      <c r="L155" s="90">
        <v>88.542392779391776</v>
      </c>
      <c r="M155" s="90">
        <v>11.290510821573747</v>
      </c>
      <c r="N155" s="90" t="s">
        <v>103</v>
      </c>
      <c r="O155" s="90">
        <v>911.3</v>
      </c>
      <c r="P155" s="154">
        <v>8175706</v>
      </c>
      <c r="Q155" s="154">
        <v>81323</v>
      </c>
      <c r="R155" s="90" t="s">
        <v>336</v>
      </c>
      <c r="S155" s="154" t="s">
        <v>731</v>
      </c>
      <c r="T155" s="90" t="s">
        <v>178</v>
      </c>
      <c r="U155" s="61" t="s">
        <v>178</v>
      </c>
      <c r="V155" s="90">
        <v>26.703710999999998</v>
      </c>
      <c r="W155" s="90">
        <v>-81.793069000000003</v>
      </c>
      <c r="X155" s="90" t="s">
        <v>178</v>
      </c>
      <c r="Y155" s="90"/>
    </row>
    <row r="156" spans="1:25" ht="105.6" x14ac:dyDescent="0.3">
      <c r="A156" s="90" t="s">
        <v>582</v>
      </c>
      <c r="B156" s="174">
        <v>2264</v>
      </c>
      <c r="C156" s="90" t="s">
        <v>28</v>
      </c>
      <c r="D156" s="90" t="s">
        <v>178</v>
      </c>
      <c r="E156" s="90" t="s">
        <v>173</v>
      </c>
      <c r="F156" s="90" t="s">
        <v>34</v>
      </c>
      <c r="G156" s="90" t="s">
        <v>85</v>
      </c>
      <c r="H156" s="90" t="s">
        <v>473</v>
      </c>
      <c r="I156" s="90" t="s">
        <v>2</v>
      </c>
      <c r="J156" s="61" t="s">
        <v>757</v>
      </c>
      <c r="K156" s="102" t="s">
        <v>757</v>
      </c>
      <c r="L156" s="90">
        <v>144.05997969276132</v>
      </c>
      <c r="M156" s="90">
        <v>10.42818769475538</v>
      </c>
      <c r="N156" s="90" t="s">
        <v>103</v>
      </c>
      <c r="O156" s="90">
        <v>117</v>
      </c>
      <c r="P156" s="154">
        <v>4475664.2300000004</v>
      </c>
      <c r="Q156" s="154">
        <v>9915</v>
      </c>
      <c r="R156" s="90" t="s">
        <v>336</v>
      </c>
      <c r="S156" s="156" t="s">
        <v>1013</v>
      </c>
      <c r="T156" s="90" t="s">
        <v>178</v>
      </c>
      <c r="U156" s="61" t="s">
        <v>178</v>
      </c>
      <c r="V156" s="90">
        <v>26.527190999999998</v>
      </c>
      <c r="W156" s="90">
        <v>-81.921706999999998</v>
      </c>
      <c r="X156" s="90" t="s">
        <v>178</v>
      </c>
      <c r="Y156" s="90"/>
    </row>
    <row r="157" spans="1:25" ht="105.6" x14ac:dyDescent="0.3">
      <c r="A157" s="90" t="s">
        <v>582</v>
      </c>
      <c r="B157" s="174">
        <v>2288</v>
      </c>
      <c r="C157" s="90" t="s">
        <v>28</v>
      </c>
      <c r="D157" s="90" t="s">
        <v>178</v>
      </c>
      <c r="E157" s="90" t="s">
        <v>174</v>
      </c>
      <c r="F157" s="90" t="s">
        <v>35</v>
      </c>
      <c r="G157" s="90" t="s">
        <v>85</v>
      </c>
      <c r="H157" s="90" t="s">
        <v>473</v>
      </c>
      <c r="I157" s="90" t="s">
        <v>2</v>
      </c>
      <c r="J157" s="61" t="s">
        <v>757</v>
      </c>
      <c r="K157" s="102" t="s">
        <v>757</v>
      </c>
      <c r="L157" s="90">
        <v>225.68547556334715</v>
      </c>
      <c r="M157" s="90">
        <v>8.517309877018878</v>
      </c>
      <c r="N157" s="90" t="s">
        <v>103</v>
      </c>
      <c r="O157" s="90">
        <v>67.2</v>
      </c>
      <c r="P157" s="154">
        <v>467000</v>
      </c>
      <c r="Q157" s="154">
        <v>3856</v>
      </c>
      <c r="R157" s="90" t="s">
        <v>336</v>
      </c>
      <c r="S157" s="154" t="s">
        <v>732</v>
      </c>
      <c r="T157" s="90" t="s">
        <v>178</v>
      </c>
      <c r="U157" s="61" t="s">
        <v>178</v>
      </c>
      <c r="V157" s="90">
        <v>26.665234000000002</v>
      </c>
      <c r="W157" s="90">
        <v>-81.738647</v>
      </c>
      <c r="X157" s="90" t="s">
        <v>178</v>
      </c>
      <c r="Y157" s="90"/>
    </row>
    <row r="158" spans="1:25" ht="105.6" x14ac:dyDescent="0.3">
      <c r="A158" s="90" t="s">
        <v>582</v>
      </c>
      <c r="B158" s="174">
        <v>2252</v>
      </c>
      <c r="C158" s="90" t="s">
        <v>28</v>
      </c>
      <c r="D158" s="90" t="s">
        <v>178</v>
      </c>
      <c r="E158" s="90" t="s">
        <v>175</v>
      </c>
      <c r="F158" s="90" t="s">
        <v>36</v>
      </c>
      <c r="G158" s="90" t="s">
        <v>85</v>
      </c>
      <c r="H158" s="90" t="s">
        <v>473</v>
      </c>
      <c r="I158" s="90" t="s">
        <v>2</v>
      </c>
      <c r="J158" s="61" t="s">
        <v>757</v>
      </c>
      <c r="K158" s="102" t="s">
        <v>757</v>
      </c>
      <c r="L158" s="90">
        <v>6.5437556569845583</v>
      </c>
      <c r="M158" s="90">
        <v>1.2870802112779369</v>
      </c>
      <c r="N158" s="90" t="s">
        <v>103</v>
      </c>
      <c r="O158" s="90">
        <v>59.1</v>
      </c>
      <c r="P158" s="154">
        <v>1755000</v>
      </c>
      <c r="Q158" s="154">
        <v>2966</v>
      </c>
      <c r="R158" s="90" t="s">
        <v>336</v>
      </c>
      <c r="S158" s="154" t="s">
        <v>733</v>
      </c>
      <c r="T158" s="90" t="s">
        <v>178</v>
      </c>
      <c r="U158" s="61" t="s">
        <v>178</v>
      </c>
      <c r="V158" s="90">
        <v>26.690852</v>
      </c>
      <c r="W158" s="90">
        <v>-81.783652000000004</v>
      </c>
      <c r="X158" s="90" t="s">
        <v>178</v>
      </c>
      <c r="Y158" s="90"/>
    </row>
    <row r="159" spans="1:25" ht="105.6" x14ac:dyDescent="0.3">
      <c r="A159" s="90" t="s">
        <v>582</v>
      </c>
      <c r="B159" s="174">
        <v>2290</v>
      </c>
      <c r="C159" s="90" t="s">
        <v>28</v>
      </c>
      <c r="D159" s="90" t="s">
        <v>385</v>
      </c>
      <c r="E159" s="90" t="s">
        <v>37</v>
      </c>
      <c r="F159" s="90" t="s">
        <v>38</v>
      </c>
      <c r="G159" s="90" t="s">
        <v>85</v>
      </c>
      <c r="H159" s="90" t="s">
        <v>473</v>
      </c>
      <c r="I159" s="90" t="s">
        <v>2</v>
      </c>
      <c r="J159" s="61" t="s">
        <v>757</v>
      </c>
      <c r="K159" s="102" t="s">
        <v>757</v>
      </c>
      <c r="L159" s="90">
        <v>7.4696171764458086E-2</v>
      </c>
      <c r="M159" s="90">
        <v>1.9789510702473478E-2</v>
      </c>
      <c r="N159" s="90" t="s">
        <v>103</v>
      </c>
      <c r="O159" s="90">
        <v>330.9</v>
      </c>
      <c r="P159" s="154">
        <v>11790529.949999999</v>
      </c>
      <c r="Q159" s="154">
        <v>190454</v>
      </c>
      <c r="R159" s="90" t="s">
        <v>336</v>
      </c>
      <c r="S159" s="156" t="s">
        <v>1014</v>
      </c>
      <c r="T159" s="90" t="s">
        <v>178</v>
      </c>
      <c r="U159" s="61" t="s">
        <v>178</v>
      </c>
      <c r="V159" s="90">
        <v>26.742021000000001</v>
      </c>
      <c r="W159" s="90">
        <v>-81.876716000000002</v>
      </c>
      <c r="X159" s="90" t="s">
        <v>178</v>
      </c>
      <c r="Y159" s="90"/>
    </row>
    <row r="160" spans="1:25" ht="105.6" x14ac:dyDescent="0.3">
      <c r="A160" s="90" t="s">
        <v>582</v>
      </c>
      <c r="B160" s="174">
        <v>2291</v>
      </c>
      <c r="C160" s="90" t="s">
        <v>28</v>
      </c>
      <c r="D160" s="90" t="s">
        <v>178</v>
      </c>
      <c r="E160" s="90" t="s">
        <v>39</v>
      </c>
      <c r="F160" s="90" t="s">
        <v>40</v>
      </c>
      <c r="G160" s="90" t="s">
        <v>85</v>
      </c>
      <c r="H160" s="90" t="s">
        <v>473</v>
      </c>
      <c r="I160" s="90" t="s">
        <v>2</v>
      </c>
      <c r="J160" s="61" t="s">
        <v>757</v>
      </c>
      <c r="K160" s="102" t="s">
        <v>757</v>
      </c>
      <c r="L160" s="90">
        <v>4676.2257618141539</v>
      </c>
      <c r="M160" s="90">
        <v>139.67865558403116</v>
      </c>
      <c r="N160" s="90" t="s">
        <v>103</v>
      </c>
      <c r="O160" s="90">
        <v>1715.1</v>
      </c>
      <c r="P160" s="154">
        <v>23900000</v>
      </c>
      <c r="Q160" s="154">
        <v>54639</v>
      </c>
      <c r="R160" s="90" t="s">
        <v>336</v>
      </c>
      <c r="S160" s="154" t="s">
        <v>734</v>
      </c>
      <c r="T160" s="90" t="s">
        <v>178</v>
      </c>
      <c r="U160" s="61" t="s">
        <v>178</v>
      </c>
      <c r="V160" s="90">
        <v>26.744064000000002</v>
      </c>
      <c r="W160" s="90">
        <v>-81.696723000000006</v>
      </c>
      <c r="X160" s="90" t="s">
        <v>178</v>
      </c>
      <c r="Y160" s="90"/>
    </row>
    <row r="161" spans="1:25" ht="105.6" x14ac:dyDescent="0.3">
      <c r="A161" s="90" t="s">
        <v>582</v>
      </c>
      <c r="B161" s="174">
        <v>2283</v>
      </c>
      <c r="C161" s="90" t="s">
        <v>28</v>
      </c>
      <c r="D161" s="90" t="s">
        <v>178</v>
      </c>
      <c r="E161" s="90" t="s">
        <v>41</v>
      </c>
      <c r="F161" s="90" t="s">
        <v>42</v>
      </c>
      <c r="G161" s="90" t="s">
        <v>85</v>
      </c>
      <c r="H161" s="90" t="s">
        <v>473</v>
      </c>
      <c r="I161" s="90" t="s">
        <v>2</v>
      </c>
      <c r="J161" s="61" t="s">
        <v>757</v>
      </c>
      <c r="K161" s="102" t="s">
        <v>757</v>
      </c>
      <c r="L161" s="90">
        <v>148.00277321217226</v>
      </c>
      <c r="M161" s="90">
        <v>41.346565624486509</v>
      </c>
      <c r="N161" s="90" t="s">
        <v>103</v>
      </c>
      <c r="O161" s="90">
        <v>218.1</v>
      </c>
      <c r="P161" s="154">
        <v>4631625</v>
      </c>
      <c r="Q161" s="154" t="s">
        <v>178</v>
      </c>
      <c r="R161" s="90" t="s">
        <v>336</v>
      </c>
      <c r="S161" s="154" t="s">
        <v>735</v>
      </c>
      <c r="T161" s="90" t="s">
        <v>178</v>
      </c>
      <c r="U161" s="61" t="s">
        <v>178</v>
      </c>
      <c r="V161" s="90">
        <v>26.647427</v>
      </c>
      <c r="W161" s="90">
        <v>-81.705286999999998</v>
      </c>
      <c r="X161" s="90" t="s">
        <v>178</v>
      </c>
      <c r="Y161" s="90"/>
    </row>
    <row r="162" spans="1:25" ht="105.6" x14ac:dyDescent="0.3">
      <c r="A162" s="90" t="s">
        <v>582</v>
      </c>
      <c r="B162" s="174">
        <v>2258</v>
      </c>
      <c r="C162" s="90" t="s">
        <v>28</v>
      </c>
      <c r="D162" s="90" t="s">
        <v>178</v>
      </c>
      <c r="E162" s="90" t="s">
        <v>43</v>
      </c>
      <c r="F162" s="90" t="s">
        <v>29</v>
      </c>
      <c r="G162" s="90" t="s">
        <v>85</v>
      </c>
      <c r="H162" s="90" t="s">
        <v>473</v>
      </c>
      <c r="I162" s="90" t="s">
        <v>2</v>
      </c>
      <c r="J162" s="61" t="s">
        <v>757</v>
      </c>
      <c r="K162" s="102" t="s">
        <v>757</v>
      </c>
      <c r="L162" s="90">
        <v>34.096796427158893</v>
      </c>
      <c r="M162" s="90">
        <v>48.356621755709448</v>
      </c>
      <c r="N162" s="90" t="s">
        <v>103</v>
      </c>
      <c r="O162" s="90">
        <v>117.8</v>
      </c>
      <c r="P162" s="154">
        <v>3323506.74</v>
      </c>
      <c r="Q162" s="154">
        <v>11703</v>
      </c>
      <c r="R162" s="90" t="s">
        <v>336</v>
      </c>
      <c r="S162" s="156" t="s">
        <v>1015</v>
      </c>
      <c r="T162" s="90" t="s">
        <v>178</v>
      </c>
      <c r="U162" s="61" t="s">
        <v>178</v>
      </c>
      <c r="V162" s="90">
        <v>26.709429</v>
      </c>
      <c r="W162" s="90">
        <v>-81.933543999999998</v>
      </c>
      <c r="X162" s="90" t="s">
        <v>178</v>
      </c>
      <c r="Y162" s="90"/>
    </row>
    <row r="163" spans="1:25" ht="198" x14ac:dyDescent="0.3">
      <c r="A163" s="90" t="s">
        <v>582</v>
      </c>
      <c r="B163" s="174">
        <v>2268</v>
      </c>
      <c r="C163" s="90" t="s">
        <v>28</v>
      </c>
      <c r="D163" s="90" t="s">
        <v>386</v>
      </c>
      <c r="E163" s="90" t="s">
        <v>44</v>
      </c>
      <c r="F163" s="90" t="s">
        <v>12</v>
      </c>
      <c r="G163" s="90" t="s">
        <v>713</v>
      </c>
      <c r="H163" s="90" t="s">
        <v>12</v>
      </c>
      <c r="I163" s="90" t="s">
        <v>1</v>
      </c>
      <c r="J163" s="61" t="s">
        <v>76</v>
      </c>
      <c r="K163" s="90" t="s">
        <v>178</v>
      </c>
      <c r="L163" s="90">
        <v>12957.46859635798</v>
      </c>
      <c r="M163" s="90">
        <v>4993.8662873840367</v>
      </c>
      <c r="N163" s="90" t="s">
        <v>103</v>
      </c>
      <c r="O163" s="90" t="s">
        <v>178</v>
      </c>
      <c r="P163" s="90">
        <v>392441</v>
      </c>
      <c r="Q163" s="154">
        <v>125000</v>
      </c>
      <c r="R163" s="90" t="s">
        <v>336</v>
      </c>
      <c r="S163" s="90" t="s">
        <v>736</v>
      </c>
      <c r="T163" s="90" t="s">
        <v>520</v>
      </c>
      <c r="U163" s="61" t="s">
        <v>178</v>
      </c>
      <c r="V163" s="145" t="s">
        <v>877</v>
      </c>
      <c r="W163" s="145" t="s">
        <v>878</v>
      </c>
      <c r="X163" s="90" t="s">
        <v>178</v>
      </c>
      <c r="Y163" s="90"/>
    </row>
    <row r="164" spans="1:25" ht="66" x14ac:dyDescent="0.3">
      <c r="A164" s="90" t="s">
        <v>582</v>
      </c>
      <c r="B164" s="174">
        <v>2272</v>
      </c>
      <c r="C164" s="90" t="s">
        <v>28</v>
      </c>
      <c r="D164" s="90" t="s">
        <v>178</v>
      </c>
      <c r="E164" s="90" t="s">
        <v>45</v>
      </c>
      <c r="F164" s="90" t="s">
        <v>3</v>
      </c>
      <c r="G164" s="90" t="s">
        <v>132</v>
      </c>
      <c r="H164" s="90" t="s">
        <v>3</v>
      </c>
      <c r="I164" s="90" t="s">
        <v>1</v>
      </c>
      <c r="J164" s="61" t="s">
        <v>964</v>
      </c>
      <c r="K164" s="90" t="s">
        <v>178</v>
      </c>
      <c r="L164" s="90">
        <v>571.80118023027933</v>
      </c>
      <c r="M164" s="90">
        <v>374.13414835944224</v>
      </c>
      <c r="N164" s="90" t="s">
        <v>103</v>
      </c>
      <c r="O164" s="90" t="s">
        <v>178</v>
      </c>
      <c r="P164" s="154">
        <v>694176</v>
      </c>
      <c r="Q164" s="169">
        <v>248572.3</v>
      </c>
      <c r="R164" s="90" t="s">
        <v>336</v>
      </c>
      <c r="S164" s="90" t="s">
        <v>178</v>
      </c>
      <c r="T164" s="90" t="s">
        <v>178</v>
      </c>
      <c r="U164" s="61" t="s">
        <v>178</v>
      </c>
      <c r="V164" s="90" t="s">
        <v>178</v>
      </c>
      <c r="W164" s="90" t="s">
        <v>178</v>
      </c>
      <c r="X164" s="90" t="s">
        <v>178</v>
      </c>
      <c r="Y164" s="90"/>
    </row>
    <row r="165" spans="1:25" ht="237.6" x14ac:dyDescent="0.3">
      <c r="A165" s="90" t="s">
        <v>582</v>
      </c>
      <c r="B165" s="174">
        <v>2273</v>
      </c>
      <c r="C165" s="90" t="s">
        <v>28</v>
      </c>
      <c r="D165" s="90" t="s">
        <v>178</v>
      </c>
      <c r="E165" s="90" t="s">
        <v>46</v>
      </c>
      <c r="F165" s="90" t="s">
        <v>277</v>
      </c>
      <c r="G165" s="90" t="s">
        <v>313</v>
      </c>
      <c r="H165" s="90" t="s">
        <v>116</v>
      </c>
      <c r="I165" s="90" t="s">
        <v>2</v>
      </c>
      <c r="J165" s="61" t="s">
        <v>76</v>
      </c>
      <c r="K165" s="90" t="s">
        <v>873</v>
      </c>
      <c r="L165" s="90">
        <v>13638.332035764297</v>
      </c>
      <c r="M165" s="90">
        <v>3535.7929785389233</v>
      </c>
      <c r="N165" s="90" t="s">
        <v>103</v>
      </c>
      <c r="O165" s="90">
        <v>397.1</v>
      </c>
      <c r="P165" s="154">
        <v>3485817</v>
      </c>
      <c r="Q165" s="154">
        <v>17101</v>
      </c>
      <c r="R165" s="90" t="s">
        <v>336</v>
      </c>
      <c r="S165" s="90" t="s">
        <v>178</v>
      </c>
      <c r="T165" s="90" t="s">
        <v>178</v>
      </c>
      <c r="U165" s="61" t="s">
        <v>178</v>
      </c>
      <c r="V165" s="90">
        <v>26.738579000000001</v>
      </c>
      <c r="W165" s="90">
        <v>-81.871095999999994</v>
      </c>
      <c r="X165" s="90" t="s">
        <v>178</v>
      </c>
      <c r="Y165" s="90"/>
    </row>
    <row r="166" spans="1:25" ht="105.6" x14ac:dyDescent="0.3">
      <c r="A166" s="90" t="s">
        <v>582</v>
      </c>
      <c r="B166" s="174">
        <v>2289</v>
      </c>
      <c r="C166" s="90" t="s">
        <v>28</v>
      </c>
      <c r="D166" s="90" t="s">
        <v>178</v>
      </c>
      <c r="E166" s="90" t="s">
        <v>47</v>
      </c>
      <c r="F166" s="90" t="s">
        <v>48</v>
      </c>
      <c r="G166" s="90" t="s">
        <v>93</v>
      </c>
      <c r="H166" s="90" t="s">
        <v>106</v>
      </c>
      <c r="I166" s="90" t="s">
        <v>2</v>
      </c>
      <c r="J166" s="61" t="s">
        <v>76</v>
      </c>
      <c r="K166" s="90" t="s">
        <v>76</v>
      </c>
      <c r="L166" s="90">
        <v>27712.185154679402</v>
      </c>
      <c r="M166" s="90">
        <v>9113.0035318918763</v>
      </c>
      <c r="N166" s="90" t="s">
        <v>103</v>
      </c>
      <c r="O166" s="90">
        <v>549.6</v>
      </c>
      <c r="P166" s="61" t="s">
        <v>178</v>
      </c>
      <c r="Q166" s="90" t="s">
        <v>178</v>
      </c>
      <c r="R166" s="90" t="s">
        <v>336</v>
      </c>
      <c r="S166" s="90" t="s">
        <v>178</v>
      </c>
      <c r="T166" s="90" t="s">
        <v>178</v>
      </c>
      <c r="U166" s="61" t="s">
        <v>178</v>
      </c>
      <c r="V166" s="61">
        <v>26.575157999999998</v>
      </c>
      <c r="W166" s="61">
        <v>-81.892427999999995</v>
      </c>
      <c r="X166" s="90" t="s">
        <v>178</v>
      </c>
      <c r="Y166" s="90"/>
    </row>
    <row r="167" spans="1:25" ht="79.2" x14ac:dyDescent="0.3">
      <c r="A167" s="90" t="s">
        <v>582</v>
      </c>
      <c r="B167" s="174">
        <v>2271</v>
      </c>
      <c r="C167" s="90" t="s">
        <v>28</v>
      </c>
      <c r="D167" s="90" t="s">
        <v>387</v>
      </c>
      <c r="E167" s="90" t="s">
        <v>49</v>
      </c>
      <c r="F167" s="90" t="s">
        <v>521</v>
      </c>
      <c r="G167" s="90" t="s">
        <v>126</v>
      </c>
      <c r="H167" s="90" t="s">
        <v>116</v>
      </c>
      <c r="I167" s="90" t="s">
        <v>2</v>
      </c>
      <c r="J167" s="61" t="s">
        <v>76</v>
      </c>
      <c r="K167" s="90" t="s">
        <v>76</v>
      </c>
      <c r="L167" s="90">
        <v>248.49752398516296</v>
      </c>
      <c r="M167" s="90">
        <v>20.107639452434384</v>
      </c>
      <c r="N167" s="90" t="s">
        <v>103</v>
      </c>
      <c r="O167" s="90">
        <v>6567.4</v>
      </c>
      <c r="P167" s="90">
        <v>326955</v>
      </c>
      <c r="Q167" s="90" t="s">
        <v>178</v>
      </c>
      <c r="R167" s="90" t="s">
        <v>388</v>
      </c>
      <c r="S167" s="61" t="s">
        <v>994</v>
      </c>
      <c r="T167" s="90" t="s">
        <v>178</v>
      </c>
      <c r="U167" s="61" t="s">
        <v>874</v>
      </c>
      <c r="V167" s="90">
        <v>26.703710999999998</v>
      </c>
      <c r="W167" s="90">
        <v>-81.793069000000003</v>
      </c>
      <c r="X167" s="90" t="s">
        <v>178</v>
      </c>
      <c r="Y167" s="90"/>
    </row>
    <row r="168" spans="1:25" ht="145.19999999999999" x14ac:dyDescent="0.3">
      <c r="A168" s="90" t="s">
        <v>582</v>
      </c>
      <c r="B168" s="174">
        <v>2270</v>
      </c>
      <c r="C168" s="90" t="s">
        <v>28</v>
      </c>
      <c r="D168" s="90" t="s">
        <v>389</v>
      </c>
      <c r="E168" s="90" t="s">
        <v>50</v>
      </c>
      <c r="F168" s="90" t="s">
        <v>51</v>
      </c>
      <c r="G168" s="90" t="s">
        <v>52</v>
      </c>
      <c r="H168" s="90" t="s">
        <v>784</v>
      </c>
      <c r="I168" s="90" t="s">
        <v>2</v>
      </c>
      <c r="J168" s="61" t="s">
        <v>76</v>
      </c>
      <c r="K168" s="90" t="s">
        <v>873</v>
      </c>
      <c r="L168" s="90">
        <v>5244.675772773975</v>
      </c>
      <c r="M168" s="90">
        <v>2053.0619487093727</v>
      </c>
      <c r="N168" s="90" t="s">
        <v>103</v>
      </c>
      <c r="O168" s="90">
        <v>1169.5999999999999</v>
      </c>
      <c r="P168" s="90">
        <v>1440000</v>
      </c>
      <c r="Q168" s="154">
        <v>38395</v>
      </c>
      <c r="R168" s="61" t="s">
        <v>390</v>
      </c>
      <c r="S168" s="90" t="s">
        <v>995</v>
      </c>
      <c r="T168" s="90" t="s">
        <v>274</v>
      </c>
      <c r="U168" s="61" t="s">
        <v>178</v>
      </c>
      <c r="V168" s="90">
        <v>26.691058999999999</v>
      </c>
      <c r="W168" s="90">
        <v>-81.867694999999998</v>
      </c>
      <c r="X168" s="90" t="s">
        <v>178</v>
      </c>
      <c r="Y168" s="90"/>
    </row>
    <row r="169" spans="1:25" ht="66" x14ac:dyDescent="0.3">
      <c r="A169" s="90" t="s">
        <v>582</v>
      </c>
      <c r="B169" s="174">
        <v>2269</v>
      </c>
      <c r="C169" s="90" t="s">
        <v>28</v>
      </c>
      <c r="D169" s="90" t="s">
        <v>186</v>
      </c>
      <c r="E169" s="90" t="s">
        <v>53</v>
      </c>
      <c r="F169" s="90" t="s">
        <v>54</v>
      </c>
      <c r="G169" s="90" t="s">
        <v>127</v>
      </c>
      <c r="H169" s="90" t="s">
        <v>431</v>
      </c>
      <c r="I169" s="61" t="s">
        <v>322</v>
      </c>
      <c r="J169" s="61" t="s">
        <v>949</v>
      </c>
      <c r="K169" s="61" t="s">
        <v>950</v>
      </c>
      <c r="L169" s="90">
        <v>12084.348998984902</v>
      </c>
      <c r="M169" s="90">
        <v>1027.302150234586</v>
      </c>
      <c r="N169" s="90" t="s">
        <v>103</v>
      </c>
      <c r="O169" s="90">
        <v>720.36</v>
      </c>
      <c r="P169" s="154">
        <v>3500000</v>
      </c>
      <c r="Q169" s="90" t="s">
        <v>114</v>
      </c>
      <c r="R169" s="90" t="s">
        <v>390</v>
      </c>
      <c r="S169" s="90" t="s">
        <v>516</v>
      </c>
      <c r="T169" s="90" t="s">
        <v>185</v>
      </c>
      <c r="U169" s="61" t="s">
        <v>178</v>
      </c>
      <c r="V169" s="90">
        <v>26.753631899999998</v>
      </c>
      <c r="W169" s="90">
        <v>-81.821141109999999</v>
      </c>
      <c r="X169" s="90" t="s">
        <v>178</v>
      </c>
      <c r="Y169" s="90"/>
    </row>
    <row r="170" spans="1:25" ht="224.4" x14ac:dyDescent="0.3">
      <c r="A170" s="90" t="s">
        <v>582</v>
      </c>
      <c r="B170" s="174">
        <v>2259</v>
      </c>
      <c r="C170" s="90" t="s">
        <v>28</v>
      </c>
      <c r="D170" s="90" t="s">
        <v>183</v>
      </c>
      <c r="E170" s="90" t="s">
        <v>55</v>
      </c>
      <c r="F170" s="90" t="s">
        <v>129</v>
      </c>
      <c r="G170" s="90" t="s">
        <v>86</v>
      </c>
      <c r="H170" s="90" t="s">
        <v>116</v>
      </c>
      <c r="I170" s="90" t="s">
        <v>2</v>
      </c>
      <c r="J170" s="61" t="s">
        <v>76</v>
      </c>
      <c r="K170" s="90" t="s">
        <v>76</v>
      </c>
      <c r="L170" s="90">
        <v>144.34089922384274</v>
      </c>
      <c r="M170" s="90">
        <v>26.367895419543377</v>
      </c>
      <c r="N170" s="90" t="s">
        <v>103</v>
      </c>
      <c r="O170" s="90">
        <v>1022.1</v>
      </c>
      <c r="P170" s="154">
        <v>210959</v>
      </c>
      <c r="Q170" s="90" t="s">
        <v>178</v>
      </c>
      <c r="R170" s="90" t="s">
        <v>382</v>
      </c>
      <c r="S170" s="149" t="s">
        <v>997</v>
      </c>
      <c r="T170" s="90" t="s">
        <v>178</v>
      </c>
      <c r="U170" s="170" t="s">
        <v>1018</v>
      </c>
      <c r="V170" s="61">
        <v>26.528694999999999</v>
      </c>
      <c r="W170" s="61">
        <v>-81.924712999999997</v>
      </c>
      <c r="X170" s="90" t="s">
        <v>178</v>
      </c>
      <c r="Y170" s="90"/>
    </row>
    <row r="171" spans="1:25" ht="224.4" x14ac:dyDescent="0.3">
      <c r="A171" s="90" t="s">
        <v>582</v>
      </c>
      <c r="B171" s="174">
        <v>2260</v>
      </c>
      <c r="C171" s="95" t="s">
        <v>28</v>
      </c>
      <c r="D171" s="95" t="s">
        <v>186</v>
      </c>
      <c r="E171" s="95" t="s">
        <v>56</v>
      </c>
      <c r="F171" s="95" t="s">
        <v>57</v>
      </c>
      <c r="G171" s="95" t="s">
        <v>314</v>
      </c>
      <c r="H171" s="90" t="s">
        <v>116</v>
      </c>
      <c r="I171" s="95" t="s">
        <v>2</v>
      </c>
      <c r="J171" s="150" t="s">
        <v>76</v>
      </c>
      <c r="K171" s="95" t="s">
        <v>76</v>
      </c>
      <c r="L171" s="90">
        <v>271.72196441304749</v>
      </c>
      <c r="M171" s="90">
        <v>43.94309575370329</v>
      </c>
      <c r="N171" s="95" t="s">
        <v>103</v>
      </c>
      <c r="O171" s="95">
        <v>3517</v>
      </c>
      <c r="P171" s="169">
        <v>1726625</v>
      </c>
      <c r="Q171" s="169">
        <v>16920</v>
      </c>
      <c r="R171" s="95" t="s">
        <v>390</v>
      </c>
      <c r="S171" s="95" t="s">
        <v>998</v>
      </c>
      <c r="T171" s="95" t="s">
        <v>273</v>
      </c>
      <c r="U171" s="61" t="s">
        <v>178</v>
      </c>
      <c r="V171" s="95">
        <v>26.758918999999999</v>
      </c>
      <c r="W171" s="95">
        <v>-81.805657999999994</v>
      </c>
      <c r="X171" s="90" t="s">
        <v>178</v>
      </c>
      <c r="Y171" s="95"/>
    </row>
    <row r="172" spans="1:25" ht="66" x14ac:dyDescent="0.3">
      <c r="A172" s="90" t="s">
        <v>582</v>
      </c>
      <c r="B172" s="174">
        <v>2261</v>
      </c>
      <c r="C172" s="90" t="s">
        <v>28</v>
      </c>
      <c r="D172" s="90" t="s">
        <v>78</v>
      </c>
      <c r="E172" s="90" t="s">
        <v>66</v>
      </c>
      <c r="F172" s="90" t="s">
        <v>20</v>
      </c>
      <c r="G172" s="90" t="s">
        <v>130</v>
      </c>
      <c r="H172" s="90" t="s">
        <v>784</v>
      </c>
      <c r="I172" s="90" t="s">
        <v>2</v>
      </c>
      <c r="J172" s="61" t="s">
        <v>76</v>
      </c>
      <c r="K172" s="90" t="s">
        <v>76</v>
      </c>
      <c r="L172" s="90">
        <v>948</v>
      </c>
      <c r="M172" s="90">
        <v>807</v>
      </c>
      <c r="N172" s="90" t="s">
        <v>103</v>
      </c>
      <c r="O172" s="90">
        <v>1632</v>
      </c>
      <c r="P172" s="154">
        <v>2500000</v>
      </c>
      <c r="Q172" s="90" t="s">
        <v>178</v>
      </c>
      <c r="R172" s="90" t="s">
        <v>337</v>
      </c>
      <c r="S172" s="90" t="s">
        <v>999</v>
      </c>
      <c r="T172" s="90" t="s">
        <v>178</v>
      </c>
      <c r="U172" s="61" t="s">
        <v>178</v>
      </c>
      <c r="V172" s="90">
        <v>26.662645000000001</v>
      </c>
      <c r="W172" s="90">
        <v>-81.824427999999997</v>
      </c>
      <c r="X172" s="90" t="s">
        <v>178</v>
      </c>
      <c r="Y172" s="90"/>
    </row>
    <row r="173" spans="1:25" ht="92.4" x14ac:dyDescent="0.3">
      <c r="A173" s="90" t="s">
        <v>582</v>
      </c>
      <c r="B173" s="174">
        <v>2262</v>
      </c>
      <c r="C173" s="90" t="s">
        <v>28</v>
      </c>
      <c r="D173" s="90" t="s">
        <v>186</v>
      </c>
      <c r="E173" s="90" t="s">
        <v>69</v>
      </c>
      <c r="F173" s="90" t="s">
        <v>278</v>
      </c>
      <c r="G173" s="90" t="s">
        <v>126</v>
      </c>
      <c r="H173" s="90" t="s">
        <v>116</v>
      </c>
      <c r="I173" s="90" t="s">
        <v>2</v>
      </c>
      <c r="J173" s="61" t="s">
        <v>951</v>
      </c>
      <c r="K173" s="90" t="s">
        <v>955</v>
      </c>
      <c r="L173" s="90">
        <v>16185.209262199154</v>
      </c>
      <c r="M173" s="90">
        <v>1368.2592402740279</v>
      </c>
      <c r="N173" s="90" t="s">
        <v>103</v>
      </c>
      <c r="O173" s="90">
        <v>1295</v>
      </c>
      <c r="P173" s="154">
        <v>250000</v>
      </c>
      <c r="Q173" s="90" t="s">
        <v>178</v>
      </c>
      <c r="R173" s="90" t="s">
        <v>390</v>
      </c>
      <c r="S173" s="90" t="s">
        <v>1000</v>
      </c>
      <c r="T173" s="90" t="s">
        <v>272</v>
      </c>
      <c r="U173" s="61" t="s">
        <v>178</v>
      </c>
      <c r="V173" s="90">
        <v>26.703014</v>
      </c>
      <c r="W173" s="90">
        <v>-81.809533999999999</v>
      </c>
      <c r="X173" s="90" t="s">
        <v>178</v>
      </c>
      <c r="Y173" s="90"/>
    </row>
    <row r="174" spans="1:25" ht="356.4" x14ac:dyDescent="0.3">
      <c r="A174" s="90" t="s">
        <v>582</v>
      </c>
      <c r="B174" s="174">
        <v>2263</v>
      </c>
      <c r="C174" s="90" t="s">
        <v>28</v>
      </c>
      <c r="D174" s="90" t="s">
        <v>186</v>
      </c>
      <c r="E174" s="90" t="s">
        <v>70</v>
      </c>
      <c r="F174" s="90" t="s">
        <v>257</v>
      </c>
      <c r="G174" s="149" t="s">
        <v>934</v>
      </c>
      <c r="H174" s="90" t="s">
        <v>116</v>
      </c>
      <c r="I174" s="90" t="s">
        <v>118</v>
      </c>
      <c r="J174" s="61" t="s">
        <v>950</v>
      </c>
      <c r="K174" s="90" t="s">
        <v>950</v>
      </c>
      <c r="L174" s="117">
        <v>102.5</v>
      </c>
      <c r="M174" s="117">
        <v>118.4</v>
      </c>
      <c r="N174" s="90" t="s">
        <v>103</v>
      </c>
      <c r="O174" s="117">
        <v>114</v>
      </c>
      <c r="P174" s="154" t="s">
        <v>114</v>
      </c>
      <c r="Q174" s="90" t="s">
        <v>114</v>
      </c>
      <c r="R174" s="90" t="s">
        <v>390</v>
      </c>
      <c r="S174" s="149" t="s">
        <v>1001</v>
      </c>
      <c r="T174" s="61" t="s">
        <v>1017</v>
      </c>
      <c r="U174" s="61" t="s">
        <v>178</v>
      </c>
      <c r="V174" s="90">
        <v>26.713912000000001</v>
      </c>
      <c r="W174" s="90">
        <v>-81.933902000000003</v>
      </c>
      <c r="X174" s="90" t="s">
        <v>178</v>
      </c>
      <c r="Y174" s="90"/>
    </row>
    <row r="175" spans="1:25" ht="118.8" x14ac:dyDescent="0.3">
      <c r="A175" s="90" t="s">
        <v>582</v>
      </c>
      <c r="B175" s="174">
        <v>2274</v>
      </c>
      <c r="C175" s="95" t="s">
        <v>28</v>
      </c>
      <c r="D175" s="95" t="s">
        <v>186</v>
      </c>
      <c r="E175" s="90" t="s">
        <v>115</v>
      </c>
      <c r="F175" s="90" t="s">
        <v>134</v>
      </c>
      <c r="G175" s="90" t="s">
        <v>117</v>
      </c>
      <c r="H175" s="90" t="s">
        <v>116</v>
      </c>
      <c r="I175" s="90" t="s">
        <v>2</v>
      </c>
      <c r="J175" s="61" t="s">
        <v>860</v>
      </c>
      <c r="K175" s="90" t="s">
        <v>860</v>
      </c>
      <c r="L175" s="90">
        <v>10356.13080315934</v>
      </c>
      <c r="M175" s="90">
        <v>837.46594792145606</v>
      </c>
      <c r="N175" s="90" t="s">
        <v>103</v>
      </c>
      <c r="O175" s="90">
        <v>2334</v>
      </c>
      <c r="P175" s="154">
        <v>600000</v>
      </c>
      <c r="Q175" s="154">
        <v>28295</v>
      </c>
      <c r="R175" s="90" t="s">
        <v>390</v>
      </c>
      <c r="S175" s="90" t="s">
        <v>522</v>
      </c>
      <c r="T175" s="90" t="s">
        <v>187</v>
      </c>
      <c r="U175" s="61" t="s">
        <v>178</v>
      </c>
      <c r="V175" s="90">
        <v>26.732617000000001</v>
      </c>
      <c r="W175" s="90">
        <v>-81.909439000000006</v>
      </c>
      <c r="X175" s="90" t="s">
        <v>178</v>
      </c>
      <c r="Y175" s="90"/>
    </row>
    <row r="176" spans="1:25" ht="158.4" x14ac:dyDescent="0.3">
      <c r="A176" s="90" t="s">
        <v>582</v>
      </c>
      <c r="B176" s="174">
        <v>2265</v>
      </c>
      <c r="C176" s="90" t="s">
        <v>28</v>
      </c>
      <c r="D176" s="90" t="s">
        <v>178</v>
      </c>
      <c r="E176" s="90" t="s">
        <v>120</v>
      </c>
      <c r="F176" s="90" t="s">
        <v>258</v>
      </c>
      <c r="G176" s="90" t="s">
        <v>121</v>
      </c>
      <c r="H176" s="90" t="s">
        <v>332</v>
      </c>
      <c r="I176" s="90" t="s">
        <v>2</v>
      </c>
      <c r="J176" s="61" t="s">
        <v>955</v>
      </c>
      <c r="K176" s="90" t="s">
        <v>794</v>
      </c>
      <c r="L176" s="90" t="s">
        <v>178</v>
      </c>
      <c r="M176" s="90" t="s">
        <v>178</v>
      </c>
      <c r="N176" s="90" t="s">
        <v>103</v>
      </c>
      <c r="O176" s="90" t="s">
        <v>178</v>
      </c>
      <c r="P176" s="154">
        <v>195831</v>
      </c>
      <c r="Q176" s="154" t="s">
        <v>178</v>
      </c>
      <c r="R176" s="90" t="s">
        <v>336</v>
      </c>
      <c r="S176" s="90" t="s">
        <v>737</v>
      </c>
      <c r="T176" s="90" t="s">
        <v>178</v>
      </c>
      <c r="U176" s="61" t="s">
        <v>178</v>
      </c>
      <c r="V176" s="61">
        <v>26.652749</v>
      </c>
      <c r="W176" s="61">
        <v>-81.776875000000004</v>
      </c>
      <c r="X176" s="90" t="s">
        <v>178</v>
      </c>
      <c r="Y176" s="90"/>
    </row>
    <row r="177" spans="1:25" ht="277.2" x14ac:dyDescent="0.3">
      <c r="A177" s="90" t="s">
        <v>582</v>
      </c>
      <c r="B177" s="174">
        <v>2257</v>
      </c>
      <c r="C177" s="90" t="s">
        <v>28</v>
      </c>
      <c r="D177" s="90" t="s">
        <v>178</v>
      </c>
      <c r="E177" s="90" t="s">
        <v>122</v>
      </c>
      <c r="F177" s="90" t="s">
        <v>123</v>
      </c>
      <c r="G177" s="90" t="s">
        <v>315</v>
      </c>
      <c r="H177" s="90" t="s">
        <v>332</v>
      </c>
      <c r="I177" s="61" t="s">
        <v>2</v>
      </c>
      <c r="J177" s="61" t="s">
        <v>794</v>
      </c>
      <c r="K177" s="90" t="s">
        <v>798</v>
      </c>
      <c r="L177" s="90" t="s">
        <v>178</v>
      </c>
      <c r="M177" s="90" t="s">
        <v>178</v>
      </c>
      <c r="N177" s="90" t="s">
        <v>103</v>
      </c>
      <c r="O177" s="90" t="s">
        <v>178</v>
      </c>
      <c r="P177" s="154">
        <v>181352</v>
      </c>
      <c r="Q177" s="154" t="s">
        <v>178</v>
      </c>
      <c r="R177" s="90" t="s">
        <v>390</v>
      </c>
      <c r="S177" s="90" t="s">
        <v>519</v>
      </c>
      <c r="T177" s="90" t="s">
        <v>691</v>
      </c>
      <c r="U177" s="61" t="s">
        <v>178</v>
      </c>
      <c r="V177" s="61">
        <v>26.652749</v>
      </c>
      <c r="W177" s="61">
        <v>-81.776875000000004</v>
      </c>
      <c r="X177" s="90" t="s">
        <v>178</v>
      </c>
      <c r="Y177" s="90"/>
    </row>
    <row r="178" spans="1:25" ht="105.6" x14ac:dyDescent="0.3">
      <c r="A178" s="90" t="s">
        <v>582</v>
      </c>
      <c r="B178" s="174">
        <v>2267</v>
      </c>
      <c r="C178" s="90" t="s">
        <v>28</v>
      </c>
      <c r="D178" s="90" t="s">
        <v>178</v>
      </c>
      <c r="E178" s="90" t="s">
        <v>188</v>
      </c>
      <c r="F178" s="90" t="s">
        <v>391</v>
      </c>
      <c r="G178" s="90" t="s">
        <v>259</v>
      </c>
      <c r="H178" s="90" t="s">
        <v>209</v>
      </c>
      <c r="I178" s="90" t="s">
        <v>2</v>
      </c>
      <c r="J178" s="61" t="s">
        <v>757</v>
      </c>
      <c r="K178" s="102" t="s">
        <v>757</v>
      </c>
      <c r="L178" s="90">
        <v>295.03018879108532</v>
      </c>
      <c r="M178" s="90" t="s">
        <v>114</v>
      </c>
      <c r="N178" s="90" t="s">
        <v>103</v>
      </c>
      <c r="O178" s="90" t="s">
        <v>178</v>
      </c>
      <c r="P178" s="90">
        <v>61565</v>
      </c>
      <c r="Q178" s="90" t="s">
        <v>178</v>
      </c>
      <c r="R178" s="90" t="s">
        <v>336</v>
      </c>
      <c r="S178" s="90" t="s">
        <v>738</v>
      </c>
      <c r="T178" s="90" t="s">
        <v>178</v>
      </c>
      <c r="U178" s="61" t="s">
        <v>178</v>
      </c>
      <c r="V178" s="90">
        <v>26.6393111</v>
      </c>
      <c r="W178" s="90">
        <v>-81.908910359999993</v>
      </c>
      <c r="X178" s="117" t="s">
        <v>178</v>
      </c>
      <c r="Y178" s="90"/>
    </row>
    <row r="179" spans="1:25" ht="369.6" x14ac:dyDescent="0.3">
      <c r="A179" s="90" t="s">
        <v>582</v>
      </c>
      <c r="B179" s="174">
        <v>2357</v>
      </c>
      <c r="C179" s="90" t="s">
        <v>28</v>
      </c>
      <c r="D179" s="90" t="s">
        <v>392</v>
      </c>
      <c r="E179" s="90" t="s">
        <v>189</v>
      </c>
      <c r="F179" s="90" t="s">
        <v>200</v>
      </c>
      <c r="G179" s="90" t="s">
        <v>505</v>
      </c>
      <c r="H179" s="90" t="s">
        <v>116</v>
      </c>
      <c r="I179" s="90" t="s">
        <v>2</v>
      </c>
      <c r="J179" s="61" t="s">
        <v>873</v>
      </c>
      <c r="K179" s="145" t="s">
        <v>873</v>
      </c>
      <c r="L179" s="90">
        <v>724.60603567228372</v>
      </c>
      <c r="M179" s="90">
        <v>194.35260335405403</v>
      </c>
      <c r="N179" s="90" t="s">
        <v>103</v>
      </c>
      <c r="O179" s="90">
        <v>1874</v>
      </c>
      <c r="P179" s="149">
        <v>2060768</v>
      </c>
      <c r="Q179" s="90">
        <v>70260</v>
      </c>
      <c r="R179" s="90" t="s">
        <v>338</v>
      </c>
      <c r="S179" s="149" t="s">
        <v>1027</v>
      </c>
      <c r="T179" s="90" t="s">
        <v>178</v>
      </c>
      <c r="U179" s="61">
        <v>4600002716</v>
      </c>
      <c r="V179" s="90">
        <v>26.638532000000001</v>
      </c>
      <c r="W179" s="90">
        <v>-81.778206999999995</v>
      </c>
      <c r="X179" s="90" t="s">
        <v>178</v>
      </c>
      <c r="Y179" s="90"/>
    </row>
    <row r="180" spans="1:25" ht="132" x14ac:dyDescent="0.3">
      <c r="A180" s="90" t="s">
        <v>582</v>
      </c>
      <c r="B180" s="174">
        <v>2356</v>
      </c>
      <c r="C180" s="90" t="s">
        <v>28</v>
      </c>
      <c r="D180" s="90" t="s">
        <v>389</v>
      </c>
      <c r="E180" s="90" t="s">
        <v>190</v>
      </c>
      <c r="F180" s="90" t="s">
        <v>205</v>
      </c>
      <c r="G180" s="90" t="s">
        <v>260</v>
      </c>
      <c r="H180" s="90" t="s">
        <v>116</v>
      </c>
      <c r="I180" s="90" t="s">
        <v>2</v>
      </c>
      <c r="J180" s="90" t="s">
        <v>399</v>
      </c>
      <c r="K180" s="90" t="s">
        <v>794</v>
      </c>
      <c r="L180" s="90">
        <v>1216.3985676407892</v>
      </c>
      <c r="M180" s="90">
        <v>118.72308819208398</v>
      </c>
      <c r="N180" s="61" t="s">
        <v>764</v>
      </c>
      <c r="O180" s="117" t="s">
        <v>178</v>
      </c>
      <c r="P180" s="90">
        <v>200000</v>
      </c>
      <c r="Q180" s="90" t="s">
        <v>178</v>
      </c>
      <c r="R180" s="90" t="s">
        <v>339</v>
      </c>
      <c r="S180" s="90" t="s">
        <v>1002</v>
      </c>
      <c r="T180" s="90" t="s">
        <v>242</v>
      </c>
      <c r="U180" s="171" t="s">
        <v>178</v>
      </c>
      <c r="V180" s="90">
        <v>26.754301999999999</v>
      </c>
      <c r="W180" s="90">
        <v>-81.655325000000005</v>
      </c>
      <c r="X180" s="90" t="s">
        <v>178</v>
      </c>
      <c r="Y180" s="90"/>
    </row>
    <row r="181" spans="1:25" ht="92.4" x14ac:dyDescent="0.3">
      <c r="A181" s="90" t="s">
        <v>582</v>
      </c>
      <c r="B181" s="174">
        <v>2239</v>
      </c>
      <c r="C181" s="90" t="s">
        <v>28</v>
      </c>
      <c r="D181" s="90" t="s">
        <v>186</v>
      </c>
      <c r="E181" s="90" t="s">
        <v>191</v>
      </c>
      <c r="F181" s="90" t="s">
        <v>40</v>
      </c>
      <c r="G181" s="90" t="s">
        <v>206</v>
      </c>
      <c r="H181" s="90" t="s">
        <v>116</v>
      </c>
      <c r="I181" s="90" t="s">
        <v>2</v>
      </c>
      <c r="J181" s="61" t="s">
        <v>955</v>
      </c>
      <c r="K181" s="90" t="s">
        <v>794</v>
      </c>
      <c r="L181" s="90">
        <v>421.09349076693036</v>
      </c>
      <c r="M181" s="90">
        <v>43.785945723380522</v>
      </c>
      <c r="N181" s="161" t="s">
        <v>103</v>
      </c>
      <c r="O181" s="117" t="s">
        <v>178</v>
      </c>
      <c r="P181" s="90">
        <v>107337</v>
      </c>
      <c r="Q181" s="90">
        <v>54639</v>
      </c>
      <c r="R181" s="90" t="s">
        <v>390</v>
      </c>
      <c r="S181" s="90" t="s">
        <v>1004</v>
      </c>
      <c r="T181" s="90" t="s">
        <v>243</v>
      </c>
      <c r="U181" s="61" t="s">
        <v>178</v>
      </c>
      <c r="V181" s="90">
        <v>26.744064000000002</v>
      </c>
      <c r="W181" s="90">
        <v>-81.696723000000006</v>
      </c>
      <c r="X181" s="90" t="s">
        <v>178</v>
      </c>
      <c r="Y181" s="90"/>
    </row>
    <row r="182" spans="1:25" ht="264" x14ac:dyDescent="0.3">
      <c r="A182" s="90" t="s">
        <v>582</v>
      </c>
      <c r="B182" s="174">
        <v>2238</v>
      </c>
      <c r="C182" s="90" t="s">
        <v>28</v>
      </c>
      <c r="D182" s="90" t="s">
        <v>362</v>
      </c>
      <c r="E182" s="90" t="s">
        <v>192</v>
      </c>
      <c r="F182" s="90" t="s">
        <v>518</v>
      </c>
      <c r="G182" s="90" t="s">
        <v>506</v>
      </c>
      <c r="H182" s="90" t="s">
        <v>784</v>
      </c>
      <c r="I182" s="90" t="s">
        <v>322</v>
      </c>
      <c r="J182" s="61" t="s">
        <v>860</v>
      </c>
      <c r="K182" s="90" t="s">
        <v>950</v>
      </c>
      <c r="L182" s="90" t="s">
        <v>114</v>
      </c>
      <c r="M182" s="90" t="s">
        <v>114</v>
      </c>
      <c r="N182" s="90" t="s">
        <v>103</v>
      </c>
      <c r="O182" s="90" t="s">
        <v>114</v>
      </c>
      <c r="P182" s="90" t="s">
        <v>114</v>
      </c>
      <c r="Q182" s="90" t="s">
        <v>114</v>
      </c>
      <c r="R182" s="90" t="s">
        <v>340</v>
      </c>
      <c r="S182" s="90" t="s">
        <v>178</v>
      </c>
      <c r="T182" s="90" t="s">
        <v>178</v>
      </c>
      <c r="U182" s="61" t="s">
        <v>178</v>
      </c>
      <c r="V182" s="90">
        <v>26.647427</v>
      </c>
      <c r="W182" s="90">
        <v>-81.705286999999998</v>
      </c>
      <c r="X182" s="90" t="s">
        <v>178</v>
      </c>
      <c r="Y182" s="90"/>
    </row>
    <row r="183" spans="1:25" ht="211.2" x14ac:dyDescent="0.3">
      <c r="A183" s="90" t="s">
        <v>582</v>
      </c>
      <c r="B183" s="174">
        <v>2243</v>
      </c>
      <c r="C183" s="90" t="s">
        <v>28</v>
      </c>
      <c r="D183" s="90" t="s">
        <v>389</v>
      </c>
      <c r="E183" s="90" t="s">
        <v>193</v>
      </c>
      <c r="F183" s="90" t="s">
        <v>316</v>
      </c>
      <c r="G183" s="90" t="s">
        <v>393</v>
      </c>
      <c r="H183" s="90" t="s">
        <v>332</v>
      </c>
      <c r="I183" s="90" t="s">
        <v>322</v>
      </c>
      <c r="J183" s="61" t="s">
        <v>951</v>
      </c>
      <c r="K183" s="90" t="s">
        <v>114</v>
      </c>
      <c r="L183" s="90" t="s">
        <v>178</v>
      </c>
      <c r="M183" s="90" t="s">
        <v>178</v>
      </c>
      <c r="N183" s="90" t="s">
        <v>103</v>
      </c>
      <c r="O183" s="90" t="s">
        <v>178</v>
      </c>
      <c r="P183" s="90">
        <v>10000000</v>
      </c>
      <c r="Q183" s="154" t="s">
        <v>178</v>
      </c>
      <c r="R183" s="90" t="s">
        <v>339</v>
      </c>
      <c r="S183" s="61" t="s">
        <v>178</v>
      </c>
      <c r="T183" s="90" t="s">
        <v>178</v>
      </c>
      <c r="U183" s="61" t="s">
        <v>178</v>
      </c>
      <c r="V183" s="90">
        <v>26.700686000000001</v>
      </c>
      <c r="W183" s="90">
        <v>-81.529159000000007</v>
      </c>
      <c r="X183" s="90" t="s">
        <v>178</v>
      </c>
      <c r="Y183" s="90"/>
    </row>
    <row r="184" spans="1:25" ht="105.6" x14ac:dyDescent="0.3">
      <c r="A184" s="90" t="s">
        <v>582</v>
      </c>
      <c r="B184" s="174">
        <v>2255</v>
      </c>
      <c r="C184" s="90" t="s">
        <v>28</v>
      </c>
      <c r="D184" s="90" t="s">
        <v>389</v>
      </c>
      <c r="E184" s="90" t="s">
        <v>194</v>
      </c>
      <c r="F184" s="90" t="s">
        <v>201</v>
      </c>
      <c r="G184" s="90" t="s">
        <v>207</v>
      </c>
      <c r="H184" s="90" t="s">
        <v>116</v>
      </c>
      <c r="I184" s="90" t="s">
        <v>2</v>
      </c>
      <c r="J184" s="61" t="s">
        <v>860</v>
      </c>
      <c r="K184" s="90" t="s">
        <v>860</v>
      </c>
      <c r="L184" s="90">
        <v>1218.4432883749002</v>
      </c>
      <c r="M184" s="90">
        <v>114.40798681264</v>
      </c>
      <c r="N184" s="90" t="s">
        <v>763</v>
      </c>
      <c r="O184" s="90">
        <v>4781</v>
      </c>
      <c r="P184" s="90">
        <v>2000000</v>
      </c>
      <c r="Q184" s="154">
        <v>35000</v>
      </c>
      <c r="R184" s="90" t="s">
        <v>339</v>
      </c>
      <c r="S184" s="149" t="s">
        <v>1005</v>
      </c>
      <c r="T184" s="90" t="s">
        <v>271</v>
      </c>
      <c r="U184" s="61">
        <v>4600003525</v>
      </c>
      <c r="V184" s="90">
        <v>26.73001</v>
      </c>
      <c r="W184" s="90">
        <v>-81.662021999999993</v>
      </c>
      <c r="X184" s="90" t="s">
        <v>178</v>
      </c>
      <c r="Y184" s="90"/>
    </row>
    <row r="185" spans="1:25" ht="105.6" x14ac:dyDescent="0.3">
      <c r="A185" s="90" t="s">
        <v>582</v>
      </c>
      <c r="B185" s="174">
        <v>2292</v>
      </c>
      <c r="C185" s="90" t="s">
        <v>28</v>
      </c>
      <c r="D185" s="90" t="s">
        <v>186</v>
      </c>
      <c r="E185" s="90" t="s">
        <v>195</v>
      </c>
      <c r="F185" s="90" t="s">
        <v>202</v>
      </c>
      <c r="G185" s="90" t="s">
        <v>507</v>
      </c>
      <c r="H185" s="90" t="s">
        <v>116</v>
      </c>
      <c r="I185" s="90" t="s">
        <v>2</v>
      </c>
      <c r="J185" s="61" t="s">
        <v>963</v>
      </c>
      <c r="K185" s="90" t="s">
        <v>963</v>
      </c>
      <c r="L185" s="90">
        <v>828.91361983327317</v>
      </c>
      <c r="M185" s="90">
        <v>46.256859367211256</v>
      </c>
      <c r="N185" s="90" t="s">
        <v>763</v>
      </c>
      <c r="O185" s="90">
        <v>4030.6556338808919</v>
      </c>
      <c r="P185" s="90">
        <v>400000</v>
      </c>
      <c r="Q185" s="90">
        <v>3000</v>
      </c>
      <c r="R185" s="90" t="s">
        <v>390</v>
      </c>
      <c r="S185" s="149" t="s">
        <v>1016</v>
      </c>
      <c r="T185" s="90" t="s">
        <v>270</v>
      </c>
      <c r="U185" s="61">
        <v>4600002828</v>
      </c>
      <c r="V185" s="90">
        <v>26.733933</v>
      </c>
      <c r="W185" s="90">
        <v>-81.604478</v>
      </c>
      <c r="X185" s="90" t="s">
        <v>178</v>
      </c>
      <c r="Y185" s="90"/>
    </row>
    <row r="186" spans="1:25" ht="158.4" x14ac:dyDescent="0.3">
      <c r="A186" s="90" t="s">
        <v>582</v>
      </c>
      <c r="B186" s="174">
        <v>2285</v>
      </c>
      <c r="C186" s="90" t="s">
        <v>28</v>
      </c>
      <c r="D186" s="90" t="s">
        <v>178</v>
      </c>
      <c r="E186" s="90" t="s">
        <v>196</v>
      </c>
      <c r="F186" s="90" t="s">
        <v>203</v>
      </c>
      <c r="G186" s="90" t="s">
        <v>121</v>
      </c>
      <c r="H186" s="90" t="s">
        <v>332</v>
      </c>
      <c r="I186" s="90" t="s">
        <v>2</v>
      </c>
      <c r="J186" s="61" t="s">
        <v>860</v>
      </c>
      <c r="K186" s="90" t="s">
        <v>860</v>
      </c>
      <c r="L186" s="90" t="s">
        <v>178</v>
      </c>
      <c r="M186" s="90" t="s">
        <v>178</v>
      </c>
      <c r="N186" s="90" t="s">
        <v>103</v>
      </c>
      <c r="O186" s="90" t="s">
        <v>178</v>
      </c>
      <c r="P186" s="90">
        <v>70000</v>
      </c>
      <c r="Q186" s="90" t="s">
        <v>178</v>
      </c>
      <c r="R186" s="90" t="s">
        <v>336</v>
      </c>
      <c r="S186" s="90" t="s">
        <v>178</v>
      </c>
      <c r="T186" s="90" t="s">
        <v>178</v>
      </c>
      <c r="U186" s="61" t="s">
        <v>178</v>
      </c>
      <c r="V186" s="90">
        <v>26.519636999999999</v>
      </c>
      <c r="W186" s="90">
        <v>-81.921543</v>
      </c>
      <c r="X186" s="90" t="s">
        <v>178</v>
      </c>
      <c r="Y186" s="90"/>
    </row>
    <row r="187" spans="1:25" ht="184.8" x14ac:dyDescent="0.3">
      <c r="A187" s="90" t="s">
        <v>582</v>
      </c>
      <c r="B187" s="174">
        <v>2276</v>
      </c>
      <c r="C187" s="90" t="s">
        <v>28</v>
      </c>
      <c r="D187" s="90" t="s">
        <v>186</v>
      </c>
      <c r="E187" s="90" t="s">
        <v>197</v>
      </c>
      <c r="F187" s="90" t="s">
        <v>394</v>
      </c>
      <c r="G187" s="90" t="s">
        <v>508</v>
      </c>
      <c r="H187" s="90" t="s">
        <v>332</v>
      </c>
      <c r="I187" s="61" t="s">
        <v>2</v>
      </c>
      <c r="J187" s="61" t="s">
        <v>860</v>
      </c>
      <c r="K187" s="90" t="s">
        <v>949</v>
      </c>
      <c r="L187" s="90" t="s">
        <v>178</v>
      </c>
      <c r="M187" s="90" t="s">
        <v>178</v>
      </c>
      <c r="N187" s="90" t="s">
        <v>103</v>
      </c>
      <c r="O187" s="90" t="s">
        <v>178</v>
      </c>
      <c r="P187" s="90">
        <v>200000</v>
      </c>
      <c r="Q187" s="90" t="s">
        <v>178</v>
      </c>
      <c r="R187" s="90" t="s">
        <v>390</v>
      </c>
      <c r="S187" s="90" t="s">
        <v>395</v>
      </c>
      <c r="T187" s="90" t="s">
        <v>210</v>
      </c>
      <c r="U187" s="61" t="s">
        <v>178</v>
      </c>
      <c r="V187" s="61">
        <v>26.661567000000002</v>
      </c>
      <c r="W187" s="61">
        <v>-81.892679999999999</v>
      </c>
      <c r="X187" s="90" t="s">
        <v>178</v>
      </c>
      <c r="Y187" s="90"/>
    </row>
    <row r="188" spans="1:25" ht="237.6" x14ac:dyDescent="0.3">
      <c r="A188" s="90" t="s">
        <v>582</v>
      </c>
      <c r="B188" s="174">
        <v>2340</v>
      </c>
      <c r="C188" s="90" t="s">
        <v>28</v>
      </c>
      <c r="D188" s="90" t="s">
        <v>186</v>
      </c>
      <c r="E188" s="90" t="s">
        <v>198</v>
      </c>
      <c r="F188" s="90" t="s">
        <v>112</v>
      </c>
      <c r="G188" s="90" t="s">
        <v>396</v>
      </c>
      <c r="H188" s="90" t="s">
        <v>116</v>
      </c>
      <c r="I188" s="61" t="s">
        <v>118</v>
      </c>
      <c r="J188" s="61" t="s">
        <v>950</v>
      </c>
      <c r="K188" s="90" t="s">
        <v>950</v>
      </c>
      <c r="L188" s="90" t="s">
        <v>114</v>
      </c>
      <c r="M188" s="90" t="s">
        <v>114</v>
      </c>
      <c r="N188" s="90" t="s">
        <v>103</v>
      </c>
      <c r="O188" s="90" t="s">
        <v>114</v>
      </c>
      <c r="P188" s="90">
        <v>2000000</v>
      </c>
      <c r="Q188" s="90" t="s">
        <v>114</v>
      </c>
      <c r="R188" s="90" t="s">
        <v>390</v>
      </c>
      <c r="S188" s="90" t="s">
        <v>1006</v>
      </c>
      <c r="T188" s="90" t="s">
        <v>211</v>
      </c>
      <c r="U188" s="61" t="s">
        <v>178</v>
      </c>
      <c r="V188" s="90">
        <v>26.658217</v>
      </c>
      <c r="W188" s="90">
        <v>-81.744166000000007</v>
      </c>
      <c r="X188" s="90" t="s">
        <v>178</v>
      </c>
      <c r="Y188" s="90"/>
    </row>
    <row r="189" spans="1:25" ht="145.19999999999999" x14ac:dyDescent="0.3">
      <c r="A189" s="90" t="s">
        <v>582</v>
      </c>
      <c r="B189" s="174">
        <v>2277</v>
      </c>
      <c r="C189" s="90" t="s">
        <v>28</v>
      </c>
      <c r="D189" s="90" t="s">
        <v>78</v>
      </c>
      <c r="E189" s="90" t="s">
        <v>199</v>
      </c>
      <c r="F189" s="90" t="s">
        <v>204</v>
      </c>
      <c r="G189" s="90" t="s">
        <v>208</v>
      </c>
      <c r="H189" s="90" t="s">
        <v>233</v>
      </c>
      <c r="I189" s="61" t="s">
        <v>118</v>
      </c>
      <c r="J189" s="61" t="s">
        <v>950</v>
      </c>
      <c r="K189" s="90" t="s">
        <v>950</v>
      </c>
      <c r="L189" s="90">
        <v>985.49522092318409</v>
      </c>
      <c r="M189" s="90">
        <v>189.59088362849963</v>
      </c>
      <c r="N189" s="90" t="s">
        <v>103</v>
      </c>
      <c r="O189" s="90" t="s">
        <v>114</v>
      </c>
      <c r="P189" s="90">
        <v>500000</v>
      </c>
      <c r="Q189" s="90" t="s">
        <v>114</v>
      </c>
      <c r="R189" s="90" t="s">
        <v>523</v>
      </c>
      <c r="S189" s="90" t="s">
        <v>524</v>
      </c>
      <c r="T189" s="90" t="s">
        <v>525</v>
      </c>
      <c r="U189" s="61" t="s">
        <v>178</v>
      </c>
      <c r="V189" s="90">
        <v>26.57583619</v>
      </c>
      <c r="W189" s="90">
        <v>-81.875846039999999</v>
      </c>
      <c r="X189" s="90" t="s">
        <v>178</v>
      </c>
      <c r="Y189" s="90"/>
    </row>
    <row r="190" spans="1:25" ht="237.6" x14ac:dyDescent="0.3">
      <c r="A190" s="90" t="s">
        <v>582</v>
      </c>
      <c r="B190" s="175">
        <v>4369</v>
      </c>
      <c r="C190" s="90" t="s">
        <v>28</v>
      </c>
      <c r="D190" s="90" t="s">
        <v>178</v>
      </c>
      <c r="E190" s="90" t="s">
        <v>433</v>
      </c>
      <c r="F190" s="90" t="s">
        <v>509</v>
      </c>
      <c r="G190" s="90" t="s">
        <v>917</v>
      </c>
      <c r="H190" s="90" t="s">
        <v>332</v>
      </c>
      <c r="I190" s="61" t="s">
        <v>2</v>
      </c>
      <c r="J190" s="61" t="s">
        <v>949</v>
      </c>
      <c r="K190" s="90" t="s">
        <v>798</v>
      </c>
      <c r="L190" s="90" t="s">
        <v>178</v>
      </c>
      <c r="M190" s="90" t="s">
        <v>178</v>
      </c>
      <c r="N190" s="61" t="s">
        <v>764</v>
      </c>
      <c r="O190" s="90" t="s">
        <v>178</v>
      </c>
      <c r="P190" s="90">
        <v>228285</v>
      </c>
      <c r="Q190" s="90" t="s">
        <v>178</v>
      </c>
      <c r="R190" s="90" t="s">
        <v>336</v>
      </c>
      <c r="S190" s="90" t="s">
        <v>739</v>
      </c>
      <c r="T190" s="90" t="s">
        <v>178</v>
      </c>
      <c r="U190" s="61" t="s">
        <v>178</v>
      </c>
      <c r="V190" s="61">
        <v>26.753018999999998</v>
      </c>
      <c r="W190" s="61">
        <v>-81.648373000000007</v>
      </c>
      <c r="X190" s="90" t="s">
        <v>178</v>
      </c>
      <c r="Y190" s="90"/>
    </row>
    <row r="191" spans="1:25" ht="105.6" x14ac:dyDescent="0.3">
      <c r="A191" s="90" t="s">
        <v>582</v>
      </c>
      <c r="B191" s="175">
        <v>4370</v>
      </c>
      <c r="C191" s="90" t="s">
        <v>28</v>
      </c>
      <c r="D191" s="90" t="s">
        <v>178</v>
      </c>
      <c r="E191" s="90" t="s">
        <v>434</v>
      </c>
      <c r="F191" s="90" t="s">
        <v>510</v>
      </c>
      <c r="G191" s="90" t="s">
        <v>85</v>
      </c>
      <c r="H191" s="90" t="s">
        <v>473</v>
      </c>
      <c r="I191" s="90" t="s">
        <v>2</v>
      </c>
      <c r="J191" s="61" t="s">
        <v>949</v>
      </c>
      <c r="K191" s="90" t="s">
        <v>949</v>
      </c>
      <c r="L191" s="90">
        <v>15177.8380315002</v>
      </c>
      <c r="M191" s="90">
        <v>10640.046788302505</v>
      </c>
      <c r="N191" s="90" t="s">
        <v>764</v>
      </c>
      <c r="O191" s="90" t="s">
        <v>178</v>
      </c>
      <c r="P191" s="90">
        <v>3870000</v>
      </c>
      <c r="Q191" s="90" t="s">
        <v>178</v>
      </c>
      <c r="R191" s="90" t="s">
        <v>336</v>
      </c>
      <c r="S191" s="90" t="s">
        <v>740</v>
      </c>
      <c r="T191" s="90" t="s">
        <v>178</v>
      </c>
      <c r="U191" s="61" t="s">
        <v>178</v>
      </c>
      <c r="V191" s="90">
        <v>26.66855657</v>
      </c>
      <c r="W191" s="90">
        <v>-81.610188399999998</v>
      </c>
      <c r="X191" s="90" t="s">
        <v>178</v>
      </c>
      <c r="Y191" s="90"/>
    </row>
    <row r="192" spans="1:25" ht="92.4" x14ac:dyDescent="0.3">
      <c r="A192" s="90" t="s">
        <v>582</v>
      </c>
      <c r="B192" s="174">
        <v>4855</v>
      </c>
      <c r="C192" s="90" t="s">
        <v>28</v>
      </c>
      <c r="D192" s="90" t="s">
        <v>186</v>
      </c>
      <c r="E192" s="90" t="s">
        <v>576</v>
      </c>
      <c r="F192" s="90" t="s">
        <v>577</v>
      </c>
      <c r="G192" s="90" t="s">
        <v>588</v>
      </c>
      <c r="H192" s="90" t="s">
        <v>784</v>
      </c>
      <c r="I192" s="61" t="s">
        <v>118</v>
      </c>
      <c r="J192" s="61" t="s">
        <v>950</v>
      </c>
      <c r="K192" s="149" t="s">
        <v>952</v>
      </c>
      <c r="L192" s="90" t="s">
        <v>114</v>
      </c>
      <c r="M192" s="90" t="s">
        <v>114</v>
      </c>
      <c r="N192" s="90" t="s">
        <v>103</v>
      </c>
      <c r="O192" s="90" t="s">
        <v>114</v>
      </c>
      <c r="P192" s="90">
        <v>974000</v>
      </c>
      <c r="Q192" s="90" t="s">
        <v>114</v>
      </c>
      <c r="R192" s="90" t="s">
        <v>186</v>
      </c>
      <c r="S192" s="90" t="s">
        <v>741</v>
      </c>
      <c r="T192" s="90" t="s">
        <v>692</v>
      </c>
      <c r="U192" s="61" t="s">
        <v>178</v>
      </c>
      <c r="V192" s="90">
        <v>26.69098357</v>
      </c>
      <c r="W192" s="90">
        <v>-81.870855939999998</v>
      </c>
      <c r="X192" s="90" t="s">
        <v>178</v>
      </c>
      <c r="Y192" s="90"/>
    </row>
    <row r="193" spans="1:25" ht="132" x14ac:dyDescent="0.3">
      <c r="A193" s="90" t="s">
        <v>582</v>
      </c>
      <c r="B193" s="174">
        <v>4856</v>
      </c>
      <c r="C193" s="90" t="s">
        <v>28</v>
      </c>
      <c r="D193" s="90" t="s">
        <v>186</v>
      </c>
      <c r="E193" s="90" t="s">
        <v>578</v>
      </c>
      <c r="F193" s="90" t="s">
        <v>579</v>
      </c>
      <c r="G193" s="90" t="s">
        <v>580</v>
      </c>
      <c r="H193" s="90" t="s">
        <v>283</v>
      </c>
      <c r="I193" s="61" t="s">
        <v>118</v>
      </c>
      <c r="J193" s="61" t="s">
        <v>952</v>
      </c>
      <c r="K193" s="61" t="s">
        <v>952</v>
      </c>
      <c r="L193" s="90" t="s">
        <v>114</v>
      </c>
      <c r="M193" s="90" t="s">
        <v>114</v>
      </c>
      <c r="N193" s="90" t="s">
        <v>103</v>
      </c>
      <c r="O193" s="90" t="s">
        <v>114</v>
      </c>
      <c r="P193" s="61">
        <v>3000000</v>
      </c>
      <c r="Q193" s="90" t="s">
        <v>114</v>
      </c>
      <c r="R193" s="90" t="s">
        <v>114</v>
      </c>
      <c r="S193" s="90" t="s">
        <v>114</v>
      </c>
      <c r="T193" s="90" t="s">
        <v>114</v>
      </c>
      <c r="U193" s="61" t="s">
        <v>178</v>
      </c>
      <c r="V193" s="90">
        <v>26.527458540000001</v>
      </c>
      <c r="W193" s="90">
        <v>-81.921743059999997</v>
      </c>
      <c r="X193" s="90" t="s">
        <v>178</v>
      </c>
      <c r="Y193" s="90"/>
    </row>
    <row r="194" spans="1:25" ht="105.6" x14ac:dyDescent="0.3">
      <c r="A194" s="90" t="s">
        <v>582</v>
      </c>
      <c r="B194" s="174">
        <v>4857</v>
      </c>
      <c r="C194" s="90" t="s">
        <v>28</v>
      </c>
      <c r="D194" s="90" t="s">
        <v>178</v>
      </c>
      <c r="E194" s="90" t="s">
        <v>581</v>
      </c>
      <c r="F194" s="90" t="s">
        <v>584</v>
      </c>
      <c r="G194" s="90" t="s">
        <v>596</v>
      </c>
      <c r="H194" s="90" t="s">
        <v>116</v>
      </c>
      <c r="I194" s="61" t="s">
        <v>118</v>
      </c>
      <c r="J194" s="61" t="s">
        <v>114</v>
      </c>
      <c r="K194" s="61" t="s">
        <v>114</v>
      </c>
      <c r="L194" s="61" t="s">
        <v>114</v>
      </c>
      <c r="M194" s="61" t="s">
        <v>114</v>
      </c>
      <c r="N194" s="61" t="s">
        <v>103</v>
      </c>
      <c r="O194" s="61" t="s">
        <v>178</v>
      </c>
      <c r="P194" s="61" t="s">
        <v>114</v>
      </c>
      <c r="Q194" s="61" t="s">
        <v>178</v>
      </c>
      <c r="R194" s="61" t="s">
        <v>178</v>
      </c>
      <c r="S194" s="61" t="s">
        <v>178</v>
      </c>
      <c r="T194" s="61" t="s">
        <v>178</v>
      </c>
      <c r="U194" s="61" t="s">
        <v>178</v>
      </c>
      <c r="V194" s="90">
        <v>26.721743379999999</v>
      </c>
      <c r="W194" s="90">
        <v>-81.709103569999996</v>
      </c>
      <c r="X194" s="90" t="s">
        <v>178</v>
      </c>
      <c r="Y194" s="90"/>
    </row>
    <row r="195" spans="1:25" ht="39.6" x14ac:dyDescent="0.3">
      <c r="A195" s="90" t="s">
        <v>582</v>
      </c>
      <c r="B195" s="174">
        <v>2278</v>
      </c>
      <c r="C195" s="90" t="s">
        <v>102</v>
      </c>
      <c r="D195" s="90" t="s">
        <v>178</v>
      </c>
      <c r="E195" s="90" t="s">
        <v>176</v>
      </c>
      <c r="F195" s="90" t="s">
        <v>397</v>
      </c>
      <c r="G195" s="90" t="s">
        <v>597</v>
      </c>
      <c r="H195" s="90" t="s">
        <v>12</v>
      </c>
      <c r="I195" s="90" t="s">
        <v>1</v>
      </c>
      <c r="J195" s="90" t="s">
        <v>399</v>
      </c>
      <c r="K195" s="90" t="s">
        <v>178</v>
      </c>
      <c r="L195" s="90">
        <v>1.7503417507097307</v>
      </c>
      <c r="M195" s="90">
        <v>0.42032141240466742</v>
      </c>
      <c r="N195" s="90" t="s">
        <v>103</v>
      </c>
      <c r="O195" s="90" t="s">
        <v>178</v>
      </c>
      <c r="P195" s="90" t="s">
        <v>399</v>
      </c>
      <c r="Q195" s="90" t="s">
        <v>399</v>
      </c>
      <c r="R195" s="90" t="s">
        <v>399</v>
      </c>
      <c r="S195" s="90" t="s">
        <v>399</v>
      </c>
      <c r="T195" s="90" t="s">
        <v>178</v>
      </c>
      <c r="U195" s="117" t="s">
        <v>399</v>
      </c>
      <c r="V195" s="90">
        <v>26.314312000000001</v>
      </c>
      <c r="W195" s="90">
        <v>-81.553030000000007</v>
      </c>
      <c r="X195" s="90" t="s">
        <v>178</v>
      </c>
      <c r="Y195" s="90"/>
    </row>
    <row r="196" spans="1:25" ht="39.6" x14ac:dyDescent="0.3">
      <c r="A196" s="90" t="s">
        <v>582</v>
      </c>
      <c r="B196" s="174">
        <v>2279</v>
      </c>
      <c r="C196" s="90" t="s">
        <v>102</v>
      </c>
      <c r="D196" s="90" t="s">
        <v>178</v>
      </c>
      <c r="E196" s="90" t="s">
        <v>295</v>
      </c>
      <c r="F196" s="90" t="s">
        <v>398</v>
      </c>
      <c r="G196" s="90" t="s">
        <v>597</v>
      </c>
      <c r="H196" s="90" t="s">
        <v>12</v>
      </c>
      <c r="I196" s="90" t="s">
        <v>1</v>
      </c>
      <c r="J196" s="90" t="s">
        <v>399</v>
      </c>
      <c r="K196" s="90" t="s">
        <v>178</v>
      </c>
      <c r="L196" s="90">
        <v>1.7503417507097307</v>
      </c>
      <c r="M196" s="90">
        <v>0.42032141240466742</v>
      </c>
      <c r="N196" s="90" t="s">
        <v>103</v>
      </c>
      <c r="O196" s="90" t="s">
        <v>178</v>
      </c>
      <c r="P196" s="90" t="s">
        <v>399</v>
      </c>
      <c r="Q196" s="90" t="s">
        <v>399</v>
      </c>
      <c r="R196" s="90" t="s">
        <v>399</v>
      </c>
      <c r="S196" s="90" t="s">
        <v>399</v>
      </c>
      <c r="T196" s="90" t="s">
        <v>178</v>
      </c>
      <c r="U196" s="117" t="s">
        <v>399</v>
      </c>
      <c r="V196" s="90">
        <v>26.314312000000001</v>
      </c>
      <c r="W196" s="90">
        <v>-81.553030000000007</v>
      </c>
      <c r="X196" s="90" t="s">
        <v>178</v>
      </c>
      <c r="Y196" s="90"/>
    </row>
    <row r="197" spans="1:25" ht="316.8" x14ac:dyDescent="0.3">
      <c r="A197" s="90" t="s">
        <v>582</v>
      </c>
      <c r="B197" s="174">
        <v>5218</v>
      </c>
      <c r="C197" s="90" t="s">
        <v>693</v>
      </c>
      <c r="D197" s="90" t="s">
        <v>567</v>
      </c>
      <c r="E197" s="90" t="s">
        <v>694</v>
      </c>
      <c r="F197" s="90" t="s">
        <v>695</v>
      </c>
      <c r="G197" s="90" t="s">
        <v>696</v>
      </c>
      <c r="H197" s="90" t="s">
        <v>486</v>
      </c>
      <c r="I197" s="90" t="s">
        <v>118</v>
      </c>
      <c r="J197" s="90" t="s">
        <v>399</v>
      </c>
      <c r="K197" s="90" t="s">
        <v>950</v>
      </c>
      <c r="L197" s="90">
        <v>1252.7</v>
      </c>
      <c r="M197" s="90" t="s">
        <v>178</v>
      </c>
      <c r="N197" s="90" t="s">
        <v>762</v>
      </c>
      <c r="O197" s="90">
        <v>86.5</v>
      </c>
      <c r="P197" s="90">
        <v>994420</v>
      </c>
      <c r="Q197" s="61" t="s">
        <v>178</v>
      </c>
      <c r="R197" s="90" t="s">
        <v>186</v>
      </c>
      <c r="S197" s="90" t="s">
        <v>742</v>
      </c>
      <c r="T197" s="90" t="s">
        <v>743</v>
      </c>
      <c r="U197" s="117" t="s">
        <v>178</v>
      </c>
      <c r="V197" s="90" t="s">
        <v>399</v>
      </c>
      <c r="W197" s="90" t="s">
        <v>399</v>
      </c>
      <c r="X197" s="149" t="s">
        <v>968</v>
      </c>
      <c r="Y197" s="90"/>
    </row>
    <row r="198" spans="1:25" ht="198" x14ac:dyDescent="0.3">
      <c r="A198" s="90" t="s">
        <v>582</v>
      </c>
      <c r="B198" s="174">
        <v>5230</v>
      </c>
      <c r="C198" s="90" t="s">
        <v>28</v>
      </c>
      <c r="D198" s="90" t="s">
        <v>178</v>
      </c>
      <c r="E198" s="90" t="s">
        <v>716</v>
      </c>
      <c r="F198" s="90" t="s">
        <v>717</v>
      </c>
      <c r="G198" s="149" t="s">
        <v>936</v>
      </c>
      <c r="H198" s="90" t="s">
        <v>332</v>
      </c>
      <c r="I198" s="61" t="s">
        <v>118</v>
      </c>
      <c r="J198" s="61" t="s">
        <v>950</v>
      </c>
      <c r="K198" s="61" t="s">
        <v>950</v>
      </c>
      <c r="L198" s="90" t="s">
        <v>178</v>
      </c>
      <c r="M198" s="90" t="s">
        <v>178</v>
      </c>
      <c r="N198" s="90" t="s">
        <v>103</v>
      </c>
      <c r="O198" s="90" t="s">
        <v>178</v>
      </c>
      <c r="P198" s="90">
        <v>645000</v>
      </c>
      <c r="Q198" s="90" t="s">
        <v>178</v>
      </c>
      <c r="R198" s="90" t="s">
        <v>336</v>
      </c>
      <c r="S198" s="90" t="s">
        <v>178</v>
      </c>
      <c r="T198" s="90" t="s">
        <v>178</v>
      </c>
      <c r="U198" s="61" t="s">
        <v>178</v>
      </c>
      <c r="V198" s="61" t="s">
        <v>178</v>
      </c>
      <c r="W198" s="61" t="s">
        <v>178</v>
      </c>
      <c r="X198" s="90" t="s">
        <v>178</v>
      </c>
      <c r="Y198" s="90"/>
    </row>
    <row r="199" spans="1:25" ht="198" x14ac:dyDescent="0.3">
      <c r="A199" s="90" t="s">
        <v>582</v>
      </c>
      <c r="B199" s="174">
        <v>5219</v>
      </c>
      <c r="C199" s="90" t="s">
        <v>697</v>
      </c>
      <c r="D199" s="90" t="s">
        <v>178</v>
      </c>
      <c r="E199" s="90" t="s">
        <v>698</v>
      </c>
      <c r="F199" s="90" t="s">
        <v>699</v>
      </c>
      <c r="G199" s="90" t="s">
        <v>713</v>
      </c>
      <c r="H199" s="90" t="s">
        <v>12</v>
      </c>
      <c r="I199" s="90" t="s">
        <v>1</v>
      </c>
      <c r="J199" s="90" t="s">
        <v>399</v>
      </c>
      <c r="K199" s="90" t="s">
        <v>178</v>
      </c>
      <c r="L199" s="90">
        <v>66.242142460780002</v>
      </c>
      <c r="M199" s="90">
        <v>7.6119449637880008</v>
      </c>
      <c r="N199" s="90" t="s">
        <v>763</v>
      </c>
      <c r="O199" s="90">
        <v>250.7</v>
      </c>
      <c r="P199" s="154" t="s">
        <v>399</v>
      </c>
      <c r="Q199" s="154" t="s">
        <v>399</v>
      </c>
      <c r="R199" s="90" t="s">
        <v>399</v>
      </c>
      <c r="S199" s="90" t="s">
        <v>399</v>
      </c>
      <c r="T199" s="90" t="s">
        <v>178</v>
      </c>
      <c r="U199" s="117" t="s">
        <v>399</v>
      </c>
      <c r="V199" s="90" t="s">
        <v>399</v>
      </c>
      <c r="W199" s="90" t="s">
        <v>399</v>
      </c>
      <c r="X199" s="90" t="s">
        <v>178</v>
      </c>
      <c r="Y199" s="90"/>
    </row>
    <row r="200" spans="1:25" ht="171.6" x14ac:dyDescent="0.3">
      <c r="A200" s="90" t="s">
        <v>582</v>
      </c>
      <c r="B200" s="174">
        <v>5220</v>
      </c>
      <c r="C200" s="90" t="s">
        <v>697</v>
      </c>
      <c r="D200" s="90" t="s">
        <v>178</v>
      </c>
      <c r="E200" s="90" t="s">
        <v>700</v>
      </c>
      <c r="F200" s="90" t="s">
        <v>613</v>
      </c>
      <c r="G200" s="90" t="s">
        <v>761</v>
      </c>
      <c r="H200" s="90" t="s">
        <v>106</v>
      </c>
      <c r="I200" s="90" t="s">
        <v>2</v>
      </c>
      <c r="J200" s="90" t="s">
        <v>399</v>
      </c>
      <c r="K200" s="102" t="s">
        <v>760</v>
      </c>
      <c r="L200" s="90" t="s">
        <v>114</v>
      </c>
      <c r="M200" s="90" t="s">
        <v>114</v>
      </c>
      <c r="N200" s="90" t="s">
        <v>763</v>
      </c>
      <c r="O200" s="117" t="s">
        <v>178</v>
      </c>
      <c r="P200" s="154" t="s">
        <v>399</v>
      </c>
      <c r="Q200" s="154" t="s">
        <v>399</v>
      </c>
      <c r="R200" s="90" t="s">
        <v>399</v>
      </c>
      <c r="S200" s="90" t="s">
        <v>399</v>
      </c>
      <c r="T200" s="90" t="s">
        <v>178</v>
      </c>
      <c r="U200" s="117" t="s">
        <v>399</v>
      </c>
      <c r="V200" s="90">
        <v>26.689083159999999</v>
      </c>
      <c r="W200" s="90">
        <v>-81.703337520000005</v>
      </c>
      <c r="X200" s="90" t="s">
        <v>178</v>
      </c>
      <c r="Y200" s="90"/>
    </row>
    <row r="201" spans="1:25" ht="92.4" x14ac:dyDescent="0.3">
      <c r="A201" s="90" t="s">
        <v>582</v>
      </c>
      <c r="B201" s="174">
        <v>5221</v>
      </c>
      <c r="C201" s="90" t="s">
        <v>697</v>
      </c>
      <c r="D201" s="90" t="s">
        <v>178</v>
      </c>
      <c r="E201" s="90" t="s">
        <v>701</v>
      </c>
      <c r="F201" s="90" t="s">
        <v>702</v>
      </c>
      <c r="G201" s="149" t="s">
        <v>937</v>
      </c>
      <c r="H201" s="90" t="s">
        <v>473</v>
      </c>
      <c r="I201" s="90" t="s">
        <v>2</v>
      </c>
      <c r="J201" s="90" t="s">
        <v>399</v>
      </c>
      <c r="K201" s="90" t="s">
        <v>949</v>
      </c>
      <c r="L201" s="90" t="s">
        <v>114</v>
      </c>
      <c r="M201" s="90" t="s">
        <v>114</v>
      </c>
      <c r="N201" s="90" t="s">
        <v>763</v>
      </c>
      <c r="O201" s="117" t="s">
        <v>178</v>
      </c>
      <c r="P201" s="154" t="s">
        <v>399</v>
      </c>
      <c r="Q201" s="154" t="s">
        <v>399</v>
      </c>
      <c r="R201" s="90" t="s">
        <v>399</v>
      </c>
      <c r="S201" s="90" t="s">
        <v>399</v>
      </c>
      <c r="T201" s="90" t="s">
        <v>178</v>
      </c>
      <c r="U201" s="117" t="s">
        <v>399</v>
      </c>
      <c r="V201" s="61">
        <v>26.697928000000001</v>
      </c>
      <c r="W201" s="61">
        <v>-81.726794999999996</v>
      </c>
      <c r="X201" s="90" t="s">
        <v>178</v>
      </c>
      <c r="Y201" s="90"/>
    </row>
    <row r="202" spans="1:25" ht="145.19999999999999" x14ac:dyDescent="0.3">
      <c r="A202" s="90" t="s">
        <v>582</v>
      </c>
      <c r="B202" s="174">
        <v>5222</v>
      </c>
      <c r="C202" s="90" t="s">
        <v>697</v>
      </c>
      <c r="D202" s="90" t="s">
        <v>178</v>
      </c>
      <c r="E202" s="90" t="s">
        <v>703</v>
      </c>
      <c r="F202" s="90" t="s">
        <v>493</v>
      </c>
      <c r="G202" s="90" t="s">
        <v>704</v>
      </c>
      <c r="H202" s="90" t="s">
        <v>493</v>
      </c>
      <c r="I202" s="90" t="s">
        <v>2</v>
      </c>
      <c r="J202" s="90" t="s">
        <v>399</v>
      </c>
      <c r="K202" s="102" t="s">
        <v>794</v>
      </c>
      <c r="L202" s="90" t="s">
        <v>114</v>
      </c>
      <c r="M202" s="90" t="s">
        <v>114</v>
      </c>
      <c r="N202" s="90" t="s">
        <v>763</v>
      </c>
      <c r="O202" s="117" t="s">
        <v>178</v>
      </c>
      <c r="P202" s="154" t="s">
        <v>399</v>
      </c>
      <c r="Q202" s="154" t="s">
        <v>399</v>
      </c>
      <c r="R202" s="90" t="s">
        <v>399</v>
      </c>
      <c r="S202" s="90" t="s">
        <v>399</v>
      </c>
      <c r="T202" s="90" t="s">
        <v>178</v>
      </c>
      <c r="U202" s="117" t="s">
        <v>399</v>
      </c>
      <c r="V202" s="61">
        <v>26.697928000000001</v>
      </c>
      <c r="W202" s="61">
        <v>-81.726794999999996</v>
      </c>
      <c r="X202" s="90" t="s">
        <v>178</v>
      </c>
      <c r="Y202" s="90"/>
    </row>
    <row r="203" spans="1:25" ht="105.6" x14ac:dyDescent="0.3">
      <c r="A203" s="90" t="s">
        <v>582</v>
      </c>
      <c r="B203" s="174">
        <v>5223</v>
      </c>
      <c r="C203" s="90" t="s">
        <v>705</v>
      </c>
      <c r="D203" s="90" t="s">
        <v>722</v>
      </c>
      <c r="E203" s="90" t="s">
        <v>706</v>
      </c>
      <c r="F203" s="90" t="s">
        <v>602</v>
      </c>
      <c r="G203" s="90" t="s">
        <v>603</v>
      </c>
      <c r="H203" s="90" t="s">
        <v>12</v>
      </c>
      <c r="I203" s="90" t="s">
        <v>118</v>
      </c>
      <c r="J203" s="61" t="s">
        <v>798</v>
      </c>
      <c r="K203" s="90" t="s">
        <v>178</v>
      </c>
      <c r="L203" s="90" t="s">
        <v>178</v>
      </c>
      <c r="M203" s="90" t="s">
        <v>178</v>
      </c>
      <c r="N203" s="90" t="s">
        <v>762</v>
      </c>
      <c r="O203" s="90" t="s">
        <v>178</v>
      </c>
      <c r="P203" s="155">
        <v>500</v>
      </c>
      <c r="Q203" s="154" t="s">
        <v>178</v>
      </c>
      <c r="R203" s="90" t="s">
        <v>705</v>
      </c>
      <c r="S203" s="155" t="s">
        <v>974</v>
      </c>
      <c r="T203" s="90" t="s">
        <v>178</v>
      </c>
      <c r="U203" s="172" t="s">
        <v>178</v>
      </c>
      <c r="V203" s="61">
        <v>26.730143999999999</v>
      </c>
      <c r="W203" s="61">
        <v>-80.964206000000004</v>
      </c>
      <c r="X203" s="90" t="s">
        <v>178</v>
      </c>
      <c r="Y203" s="90"/>
    </row>
    <row r="204" spans="1:25" ht="132" x14ac:dyDescent="0.3">
      <c r="A204" s="90" t="s">
        <v>582</v>
      </c>
      <c r="B204" s="174">
        <v>5224</v>
      </c>
      <c r="C204" s="90" t="s">
        <v>705</v>
      </c>
      <c r="D204" s="90" t="s">
        <v>96</v>
      </c>
      <c r="E204" s="90" t="s">
        <v>707</v>
      </c>
      <c r="F204" s="90" t="s">
        <v>605</v>
      </c>
      <c r="G204" s="90" t="s">
        <v>606</v>
      </c>
      <c r="H204" s="90" t="s">
        <v>444</v>
      </c>
      <c r="I204" s="90" t="s">
        <v>118</v>
      </c>
      <c r="J204" s="61" t="s">
        <v>798</v>
      </c>
      <c r="K204" s="90" t="s">
        <v>178</v>
      </c>
      <c r="L204" s="90" t="s">
        <v>178</v>
      </c>
      <c r="M204" s="90" t="s">
        <v>178</v>
      </c>
      <c r="N204" s="90" t="s">
        <v>762</v>
      </c>
      <c r="O204" s="90" t="s">
        <v>178</v>
      </c>
      <c r="P204" s="155">
        <v>1000</v>
      </c>
      <c r="Q204" s="154" t="s">
        <v>178</v>
      </c>
      <c r="R204" s="90" t="s">
        <v>705</v>
      </c>
      <c r="S204" s="155" t="s">
        <v>975</v>
      </c>
      <c r="T204" s="90" t="s">
        <v>178</v>
      </c>
      <c r="U204" s="172" t="s">
        <v>178</v>
      </c>
      <c r="V204" s="61">
        <v>26.730143999999999</v>
      </c>
      <c r="W204" s="61">
        <v>-80.964206000000004</v>
      </c>
      <c r="X204" s="90" t="s">
        <v>178</v>
      </c>
      <c r="Y204" s="90"/>
    </row>
    <row r="205" spans="1:25" ht="105.6" x14ac:dyDescent="0.3">
      <c r="A205" s="90" t="s">
        <v>582</v>
      </c>
      <c r="B205" s="174">
        <v>5225</v>
      </c>
      <c r="C205" s="90" t="s">
        <v>705</v>
      </c>
      <c r="D205" s="90" t="s">
        <v>178</v>
      </c>
      <c r="E205" s="90" t="s">
        <v>708</v>
      </c>
      <c r="F205" s="90" t="s">
        <v>608</v>
      </c>
      <c r="G205" s="149" t="s">
        <v>926</v>
      </c>
      <c r="H205" s="90" t="s">
        <v>107</v>
      </c>
      <c r="I205" s="90" t="s">
        <v>2</v>
      </c>
      <c r="J205" s="61" t="s">
        <v>798</v>
      </c>
      <c r="K205" s="102" t="s">
        <v>798</v>
      </c>
      <c r="L205" s="90" t="s">
        <v>178</v>
      </c>
      <c r="M205" s="90" t="s">
        <v>178</v>
      </c>
      <c r="N205" s="90" t="s">
        <v>762</v>
      </c>
      <c r="O205" s="90" t="s">
        <v>178</v>
      </c>
      <c r="P205" s="155">
        <v>0</v>
      </c>
      <c r="Q205" s="154" t="s">
        <v>178</v>
      </c>
      <c r="R205" s="90" t="s">
        <v>705</v>
      </c>
      <c r="S205" s="156" t="s">
        <v>178</v>
      </c>
      <c r="T205" s="90" t="s">
        <v>178</v>
      </c>
      <c r="U205" s="172" t="s">
        <v>178</v>
      </c>
      <c r="V205" s="61">
        <v>26.753411</v>
      </c>
      <c r="W205" s="61" t="s">
        <v>885</v>
      </c>
      <c r="X205" s="90" t="s">
        <v>178</v>
      </c>
      <c r="Y205" s="90"/>
    </row>
    <row r="206" spans="1:25" ht="145.19999999999999" x14ac:dyDescent="0.3">
      <c r="A206" s="90" t="s">
        <v>582</v>
      </c>
      <c r="B206" s="174">
        <v>5226</v>
      </c>
      <c r="C206" s="90" t="s">
        <v>705</v>
      </c>
      <c r="D206" s="90" t="s">
        <v>178</v>
      </c>
      <c r="E206" s="90" t="s">
        <v>709</v>
      </c>
      <c r="F206" s="90" t="s">
        <v>666</v>
      </c>
      <c r="G206" s="90" t="s">
        <v>667</v>
      </c>
      <c r="H206" s="90" t="s">
        <v>106</v>
      </c>
      <c r="I206" s="90" t="s">
        <v>118</v>
      </c>
      <c r="J206" s="61" t="s">
        <v>950</v>
      </c>
      <c r="K206" s="90" t="s">
        <v>114</v>
      </c>
      <c r="L206" s="90" t="s">
        <v>178</v>
      </c>
      <c r="M206" s="90" t="s">
        <v>178</v>
      </c>
      <c r="N206" s="90" t="s">
        <v>762</v>
      </c>
      <c r="O206" s="90" t="s">
        <v>178</v>
      </c>
      <c r="P206" s="155">
        <v>4500</v>
      </c>
      <c r="Q206" s="154" t="s">
        <v>178</v>
      </c>
      <c r="R206" s="90" t="s">
        <v>705</v>
      </c>
      <c r="S206" s="155" t="s">
        <v>1009</v>
      </c>
      <c r="T206" s="90" t="s">
        <v>178</v>
      </c>
      <c r="U206" s="172" t="s">
        <v>178</v>
      </c>
      <c r="V206" s="61">
        <v>26.753411</v>
      </c>
      <c r="W206" s="61" t="s">
        <v>885</v>
      </c>
      <c r="X206" s="90" t="s">
        <v>178</v>
      </c>
      <c r="Y206" s="90"/>
    </row>
    <row r="207" spans="1:25" ht="92.4" x14ac:dyDescent="0.3">
      <c r="A207" s="90" t="s">
        <v>582</v>
      </c>
      <c r="B207" s="174">
        <v>5227</v>
      </c>
      <c r="C207" s="90" t="s">
        <v>705</v>
      </c>
      <c r="D207" s="90" t="s">
        <v>178</v>
      </c>
      <c r="E207" s="90" t="s">
        <v>710</v>
      </c>
      <c r="F207" s="90" t="s">
        <v>613</v>
      </c>
      <c r="G207" s="90" t="s">
        <v>614</v>
      </c>
      <c r="H207" s="90" t="s">
        <v>106</v>
      </c>
      <c r="I207" s="90" t="s">
        <v>1</v>
      </c>
      <c r="J207" s="61" t="s">
        <v>950</v>
      </c>
      <c r="K207" s="90" t="s">
        <v>178</v>
      </c>
      <c r="L207" s="90" t="s">
        <v>178</v>
      </c>
      <c r="M207" s="90" t="s">
        <v>178</v>
      </c>
      <c r="N207" s="90" t="s">
        <v>762</v>
      </c>
      <c r="O207" s="90" t="s">
        <v>178</v>
      </c>
      <c r="P207" s="155">
        <v>2500</v>
      </c>
      <c r="Q207" s="154" t="s">
        <v>178</v>
      </c>
      <c r="R207" s="90" t="s">
        <v>705</v>
      </c>
      <c r="S207" s="155" t="s">
        <v>982</v>
      </c>
      <c r="T207" s="90" t="s">
        <v>178</v>
      </c>
      <c r="U207" s="172" t="s">
        <v>178</v>
      </c>
      <c r="V207" s="61">
        <v>26.765592000000002</v>
      </c>
      <c r="W207" s="61">
        <v>-80.959603000000001</v>
      </c>
      <c r="X207" s="90" t="s">
        <v>178</v>
      </c>
      <c r="Y207" s="90"/>
    </row>
    <row r="208" spans="1:25" ht="198" x14ac:dyDescent="0.3">
      <c r="A208" s="90" t="s">
        <v>582</v>
      </c>
      <c r="B208" s="174">
        <v>5228</v>
      </c>
      <c r="C208" s="90" t="s">
        <v>711</v>
      </c>
      <c r="D208" s="90" t="s">
        <v>178</v>
      </c>
      <c r="E208" s="90" t="s">
        <v>712</v>
      </c>
      <c r="F208" s="90" t="s">
        <v>699</v>
      </c>
      <c r="G208" s="90" t="s">
        <v>713</v>
      </c>
      <c r="H208" s="90" t="s">
        <v>12</v>
      </c>
      <c r="I208" s="90" t="s">
        <v>1</v>
      </c>
      <c r="J208" s="90" t="s">
        <v>399</v>
      </c>
      <c r="K208" s="90" t="s">
        <v>178</v>
      </c>
      <c r="L208" s="90">
        <v>116.54315594848701</v>
      </c>
      <c r="M208" s="90">
        <v>15.051627967223292</v>
      </c>
      <c r="N208" s="90" t="s">
        <v>103</v>
      </c>
      <c r="O208" s="90">
        <v>452</v>
      </c>
      <c r="P208" s="154" t="s">
        <v>399</v>
      </c>
      <c r="Q208" s="154" t="s">
        <v>399</v>
      </c>
      <c r="R208" s="90" t="s">
        <v>399</v>
      </c>
      <c r="S208" s="90" t="s">
        <v>399</v>
      </c>
      <c r="T208" s="90" t="s">
        <v>178</v>
      </c>
      <c r="U208" s="117" t="s">
        <v>399</v>
      </c>
      <c r="V208" s="90" t="s">
        <v>399</v>
      </c>
      <c r="W208" s="90" t="s">
        <v>399</v>
      </c>
      <c r="X208" s="90" t="s">
        <v>178</v>
      </c>
      <c r="Y208" s="90"/>
    </row>
    <row r="209" spans="1:25" ht="198" x14ac:dyDescent="0.3">
      <c r="A209" s="90" t="s">
        <v>582</v>
      </c>
      <c r="B209" s="174">
        <v>5229</v>
      </c>
      <c r="C209" s="90" t="s">
        <v>714</v>
      </c>
      <c r="D209" s="90" t="s">
        <v>178</v>
      </c>
      <c r="E209" s="90" t="s">
        <v>715</v>
      </c>
      <c r="F209" s="90" t="s">
        <v>699</v>
      </c>
      <c r="G209" s="90" t="s">
        <v>713</v>
      </c>
      <c r="H209" s="90" t="s">
        <v>12</v>
      </c>
      <c r="I209" s="90" t="s">
        <v>1</v>
      </c>
      <c r="J209" s="90" t="s">
        <v>399</v>
      </c>
      <c r="K209" s="90" t="s">
        <v>178</v>
      </c>
      <c r="L209" s="90">
        <v>180.34872436642615</v>
      </c>
      <c r="M209" s="90">
        <v>29.137580185064948</v>
      </c>
      <c r="N209" s="90" t="s">
        <v>103</v>
      </c>
      <c r="O209" s="90">
        <v>488.8</v>
      </c>
      <c r="P209" s="154" t="s">
        <v>399</v>
      </c>
      <c r="Q209" s="154" t="s">
        <v>399</v>
      </c>
      <c r="R209" s="90" t="s">
        <v>399</v>
      </c>
      <c r="S209" s="90" t="s">
        <v>399</v>
      </c>
      <c r="T209" s="90" t="s">
        <v>178</v>
      </c>
      <c r="U209" s="117" t="s">
        <v>399</v>
      </c>
      <c r="V209" s="90" t="s">
        <v>399</v>
      </c>
      <c r="W209" s="90" t="s">
        <v>399</v>
      </c>
      <c r="X209" s="90" t="s">
        <v>178</v>
      </c>
      <c r="Y209" s="90"/>
    </row>
  </sheetData>
  <autoFilter ref="A1:Y209" xr:uid="{FA8F8499-D964-42A4-81E3-A18B879EA900}"/>
  <pageMargins left="0.7" right="0.7" top="0.75" bottom="0.75" header="0.3" footer="0.3"/>
  <customProperties>
    <customPr name="LastActive" r:id="rId1"/>
  </customPropertie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3FBB32D9-86F3-49AD-B731-988E867D5E81}">
          <x14:formula1>
            <xm:f>'Z:\FileServer Data\FDEP LSJR Main Stem BMAP\11 2018 Progress Report Items\Received\CCUA\[LSJM_CCUA Aggregate Revised.xlsx]Drop Downs'!#REF!</xm:f>
          </x14:formula1>
          <xm:sqref>H1:I1</xm:sqref>
        </x14:dataValidation>
        <x14:dataValidation type="list" allowBlank="1" showInputMessage="1" showErrorMessage="1" xr:uid="{0EA58F97-CE0E-4686-B14E-8FD6D1B8F321}">
          <x14:formula1>
            <xm:f>'C:\Users\Rossiter_B\Desktop\STAR\2020 STAR\CALO\Responses\City of Moore Haven\[Moore Haven CALO Report For 2020_BR.xlsx]DropDown'!#REF!</xm:f>
          </x14:formula1>
          <xm:sqref>H50</xm:sqref>
        </x14:dataValidation>
        <x14:dataValidation type="list" allowBlank="1" showInputMessage="1" showErrorMessage="1" xr:uid="{AE8D0108-6561-4BBA-A669-6EED85711D9C}">
          <x14:formula1>
            <xm:f>'[2021_1-15_MASTER_SFWMD and Coord Agency_Multi BMAP.xlsx]DropDowns'!#REF!</xm:f>
          </x14:formula1>
          <xm:sqref>H63 I60 Y58:Y64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DA2E-C03D-4493-938F-6C797C8D28FE}">
  <dimension ref="A1:P72"/>
  <sheetViews>
    <sheetView topLeftCell="A52" workbookViewId="0">
      <selection activeCell="A42" sqref="A42"/>
    </sheetView>
  </sheetViews>
  <sheetFormatPr defaultRowHeight="14.4" x14ac:dyDescent="0.3"/>
  <cols>
    <col min="1" max="1" width="32.33203125" bestFit="1" customWidth="1"/>
    <col min="2" max="2" width="26.109375" bestFit="1" customWidth="1"/>
    <col min="3" max="3" width="25.88671875" bestFit="1" customWidth="1"/>
    <col min="4" max="4" width="16.44140625" customWidth="1"/>
    <col min="5" max="5" width="18.6640625" customWidth="1"/>
    <col min="6" max="6" width="16.5546875" customWidth="1"/>
    <col min="7" max="7" width="14.5546875" customWidth="1"/>
    <col min="8" max="8" width="17.109375" customWidth="1"/>
    <col min="9" max="9" width="18" style="78" customWidth="1"/>
    <col min="15" max="15" width="32.33203125" bestFit="1" customWidth="1"/>
    <col min="16" max="16" width="21" bestFit="1" customWidth="1"/>
  </cols>
  <sheetData>
    <row r="1" spans="1:16" x14ac:dyDescent="0.3">
      <c r="A1" s="75" t="s">
        <v>781</v>
      </c>
      <c r="B1" s="75"/>
      <c r="C1" s="75"/>
      <c r="D1" s="75"/>
      <c r="E1" s="75"/>
      <c r="F1" s="75"/>
    </row>
    <row r="2" spans="1:16" ht="39.6" x14ac:dyDescent="0.3">
      <c r="A2" s="52" t="s">
        <v>766</v>
      </c>
      <c r="B2" s="52" t="s">
        <v>767</v>
      </c>
      <c r="C2" s="52" t="s">
        <v>768</v>
      </c>
      <c r="D2" s="52" t="s">
        <v>769</v>
      </c>
      <c r="E2" s="52" t="s">
        <v>97</v>
      </c>
      <c r="F2" s="52" t="s">
        <v>770</v>
      </c>
      <c r="G2" s="52" t="s">
        <v>771</v>
      </c>
      <c r="H2" s="52" t="s">
        <v>772</v>
      </c>
      <c r="I2" s="53" t="s">
        <v>773</v>
      </c>
      <c r="O2" s="81" t="s">
        <v>4</v>
      </c>
      <c r="P2" s="25" t="s">
        <v>436</v>
      </c>
    </row>
    <row r="3" spans="1:16" x14ac:dyDescent="0.3">
      <c r="A3" s="73" t="s">
        <v>600</v>
      </c>
      <c r="B3" s="66">
        <f>GETPIVOTDATA("Sum of TNReduction(lbs/yr)",$A$44,"LeadEntity","Barron WCD")</f>
        <v>0</v>
      </c>
      <c r="C3" s="71" t="s">
        <v>178</v>
      </c>
      <c r="D3" s="71" t="s">
        <v>178</v>
      </c>
      <c r="E3" s="71" t="s">
        <v>178</v>
      </c>
      <c r="F3" s="66">
        <f>GETPIVOTDATA("Sum of TPReduction(lbs/yr)",$A$44,"LeadEntity","Barron WCD")</f>
        <v>0</v>
      </c>
      <c r="G3" s="71" t="s">
        <v>178</v>
      </c>
      <c r="H3" s="71" t="s">
        <v>178</v>
      </c>
      <c r="I3" s="79" t="s">
        <v>178</v>
      </c>
      <c r="O3" s="32" t="s">
        <v>600</v>
      </c>
      <c r="P3" s="47">
        <v>5</v>
      </c>
    </row>
    <row r="4" spans="1:16" x14ac:dyDescent="0.3">
      <c r="A4" s="73" t="s">
        <v>58</v>
      </c>
      <c r="B4" s="66">
        <f>GETPIVOTDATA("Sum of TNReduction(lbs/yr)",$A$44,"LeadEntity","Charlotte County")</f>
        <v>1272.2774924126636</v>
      </c>
      <c r="C4" s="66">
        <v>5815.6</v>
      </c>
      <c r="D4" s="66">
        <f>C4-B4</f>
        <v>4543.322507587337</v>
      </c>
      <c r="E4" s="76">
        <f>B4/C4</f>
        <v>0.21876977309523757</v>
      </c>
      <c r="F4" s="66">
        <f>GETPIVOTDATA("Sum of TPReduction(lbs/yr)",$A$44,"LeadEntity","Charlotte County")</f>
        <v>212.39781875572319</v>
      </c>
      <c r="G4" s="71" t="s">
        <v>178</v>
      </c>
      <c r="H4" s="71" t="s">
        <v>178</v>
      </c>
      <c r="I4" s="79" t="s">
        <v>178</v>
      </c>
      <c r="O4" s="32" t="s">
        <v>58</v>
      </c>
      <c r="P4" s="47">
        <v>1</v>
      </c>
    </row>
    <row r="5" spans="1:16" x14ac:dyDescent="0.3">
      <c r="A5" s="73" t="s">
        <v>77</v>
      </c>
      <c r="B5" s="66">
        <f>GETPIVOTDATA("Sum of TNReduction(lbs/yr)",$A$44,"LeadEntity","City of Cape Coral")</f>
        <v>81015.197571204364</v>
      </c>
      <c r="C5" s="66">
        <v>38964.6</v>
      </c>
      <c r="D5" s="66">
        <f t="shared" ref="D5:D30" si="0">C5-B5</f>
        <v>-42050.597571204366</v>
      </c>
      <c r="E5" s="76">
        <f>B5/C5</f>
        <v>2.0792000321113107</v>
      </c>
      <c r="F5" s="66">
        <f>GETPIVOTDATA("Sum of TPReduction(lbs/yr)",$A$44,"LeadEntity","City of Cape Coral")</f>
        <v>7197.3835203990811</v>
      </c>
      <c r="G5" s="71" t="s">
        <v>178</v>
      </c>
      <c r="H5" s="71" t="s">
        <v>178</v>
      </c>
      <c r="I5" s="79" t="s">
        <v>178</v>
      </c>
      <c r="O5" s="32" t="s">
        <v>77</v>
      </c>
      <c r="P5" s="47">
        <v>19</v>
      </c>
    </row>
    <row r="6" spans="1:16" x14ac:dyDescent="0.3">
      <c r="A6" s="73" t="s">
        <v>546</v>
      </c>
      <c r="B6" s="66">
        <f>GETPIVOTDATA("Sum of TNReduction(lbs/yr)",$A$44,"LeadEntity","City of Clewiston")</f>
        <v>299.12394160844946</v>
      </c>
      <c r="C6" s="66">
        <v>1954.7</v>
      </c>
      <c r="D6" s="66">
        <f t="shared" si="0"/>
        <v>1655.5760583915505</v>
      </c>
      <c r="E6" s="76">
        <f>B6/C6</f>
        <v>0.15302805627894278</v>
      </c>
      <c r="F6" s="66">
        <f>GETPIVOTDATA("Sum of TPReduction(lbs/yr)",$A$44,"LeadEntity","City of Clewiston")</f>
        <v>83.486192216528138</v>
      </c>
      <c r="G6" s="66">
        <v>315.8</v>
      </c>
      <c r="H6" s="66">
        <f>G6-F6</f>
        <v>232.31380778347187</v>
      </c>
      <c r="I6" s="76">
        <f>F6/G6</f>
        <v>0.26436412988134306</v>
      </c>
      <c r="O6" s="32" t="s">
        <v>546</v>
      </c>
      <c r="P6" s="47">
        <v>6</v>
      </c>
    </row>
    <row r="7" spans="1:16" x14ac:dyDescent="0.3">
      <c r="A7" s="73" t="s">
        <v>78</v>
      </c>
      <c r="B7" s="66">
        <f>GETPIVOTDATA("Sum of TNReduction(lbs/yr)",$A$44,"LeadEntity","City of Fort Myers")</f>
        <v>18235.396314547892</v>
      </c>
      <c r="C7" s="66">
        <v>19493.099999999999</v>
      </c>
      <c r="D7" s="66">
        <f t="shared" si="0"/>
        <v>1257.7036854521066</v>
      </c>
      <c r="E7" s="76">
        <f>B7/C7</f>
        <v>0.93547954479009976</v>
      </c>
      <c r="F7" s="66">
        <f>GETPIVOTDATA("Sum of TPReduction(lbs/yr)",$A$44,"LeadEntity","City of Fort Myers")</f>
        <v>6075.0313803625704</v>
      </c>
      <c r="G7" s="71" t="s">
        <v>178</v>
      </c>
      <c r="H7" s="71" t="s">
        <v>178</v>
      </c>
      <c r="I7" s="79" t="s">
        <v>178</v>
      </c>
      <c r="O7" s="32" t="s">
        <v>78</v>
      </c>
      <c r="P7" s="47">
        <v>16</v>
      </c>
    </row>
    <row r="8" spans="1:16" x14ac:dyDescent="0.3">
      <c r="A8" s="73" t="s">
        <v>774</v>
      </c>
      <c r="B8" s="74"/>
      <c r="C8" s="66">
        <v>2949.7</v>
      </c>
      <c r="D8" s="66">
        <f t="shared" si="0"/>
        <v>2949.7</v>
      </c>
      <c r="E8" s="76">
        <f>B8/C8</f>
        <v>0</v>
      </c>
      <c r="F8" s="74"/>
      <c r="G8" s="71" t="s">
        <v>178</v>
      </c>
      <c r="H8" s="71" t="s">
        <v>178</v>
      </c>
      <c r="I8" s="79" t="s">
        <v>178</v>
      </c>
      <c r="O8" s="32" t="s">
        <v>693</v>
      </c>
      <c r="P8" s="47">
        <v>2</v>
      </c>
    </row>
    <row r="9" spans="1:16" x14ac:dyDescent="0.3">
      <c r="A9" s="73" t="s">
        <v>693</v>
      </c>
      <c r="B9" s="74"/>
      <c r="C9" s="67">
        <v>0</v>
      </c>
      <c r="D9" s="67">
        <v>0</v>
      </c>
      <c r="E9" s="71" t="s">
        <v>178</v>
      </c>
      <c r="F9" s="74"/>
      <c r="G9" s="71" t="s">
        <v>178</v>
      </c>
      <c r="H9" s="71" t="s">
        <v>178</v>
      </c>
      <c r="I9" s="79" t="s">
        <v>178</v>
      </c>
      <c r="O9" s="32" t="s">
        <v>627</v>
      </c>
      <c r="P9" s="47">
        <v>5</v>
      </c>
    </row>
    <row r="10" spans="1:16" x14ac:dyDescent="0.3">
      <c r="A10" s="73" t="s">
        <v>627</v>
      </c>
      <c r="B10" s="66">
        <f>GETPIVOTDATA("Sum of TNReduction(lbs/yr)",$A$44,"LeadEntity","Clewiston Drainage District")</f>
        <v>0</v>
      </c>
      <c r="C10" s="71" t="s">
        <v>178</v>
      </c>
      <c r="D10" s="71" t="s">
        <v>178</v>
      </c>
      <c r="E10" s="71" t="s">
        <v>178</v>
      </c>
      <c r="F10" s="66">
        <f>GETPIVOTDATA("Sum of TPReduction(lbs/yr)",$A$44,"LeadEntity","Clewiston Drainage District")</f>
        <v>0</v>
      </c>
      <c r="G10" s="71" t="s">
        <v>178</v>
      </c>
      <c r="H10" s="71" t="s">
        <v>178</v>
      </c>
      <c r="I10" s="79" t="s">
        <v>178</v>
      </c>
      <c r="O10" s="32" t="s">
        <v>643</v>
      </c>
      <c r="P10" s="47">
        <v>5</v>
      </c>
    </row>
    <row r="11" spans="1:16" x14ac:dyDescent="0.3">
      <c r="A11" s="73" t="s">
        <v>778</v>
      </c>
      <c r="B11" s="74"/>
      <c r="C11" s="67">
        <v>0</v>
      </c>
      <c r="D11" s="67">
        <v>0</v>
      </c>
      <c r="E11" s="71" t="s">
        <v>178</v>
      </c>
      <c r="F11" s="74"/>
      <c r="G11" s="71" t="s">
        <v>178</v>
      </c>
      <c r="H11" s="71" t="s">
        <v>178</v>
      </c>
      <c r="I11" s="79" t="s">
        <v>178</v>
      </c>
      <c r="O11" s="32" t="s">
        <v>591</v>
      </c>
      <c r="P11" s="47">
        <v>7</v>
      </c>
    </row>
    <row r="12" spans="1:16" x14ac:dyDescent="0.3">
      <c r="A12" s="73" t="s">
        <v>643</v>
      </c>
      <c r="B12" s="66">
        <f>GETPIVOTDATA("Sum of TNReduction(lbs/yr)",$A$44,"LeadEntity","Collins Slough WCD")</f>
        <v>0</v>
      </c>
      <c r="C12" s="71" t="s">
        <v>178</v>
      </c>
      <c r="D12" s="71" t="s">
        <v>178</v>
      </c>
      <c r="E12" s="71" t="s">
        <v>178</v>
      </c>
      <c r="F12" s="66">
        <f>GETPIVOTDATA("Sum of TPReduction(lbs/yr)",$A$44,"LeadEntity","Collins Slough WCD")</f>
        <v>0</v>
      </c>
      <c r="G12" s="71" t="s">
        <v>178</v>
      </c>
      <c r="H12" s="71" t="s">
        <v>178</v>
      </c>
      <c r="I12" s="79" t="s">
        <v>178</v>
      </c>
      <c r="O12" s="32" t="s">
        <v>635</v>
      </c>
      <c r="P12" s="47">
        <v>5</v>
      </c>
    </row>
    <row r="13" spans="1:16" x14ac:dyDescent="0.3">
      <c r="A13" s="73" t="s">
        <v>591</v>
      </c>
      <c r="B13" s="66">
        <f>GETPIVOTDATA("Sum of TNReduction(lbs/yr)",$A$44,"LeadEntity","Coordinating Agency")</f>
        <v>0</v>
      </c>
      <c r="C13" s="71" t="s">
        <v>178</v>
      </c>
      <c r="D13" s="71" t="s">
        <v>178</v>
      </c>
      <c r="E13" s="71" t="s">
        <v>178</v>
      </c>
      <c r="F13" s="66">
        <f>GETPIVOTDATA("Sum of TPReduction(lbs/yr)",$A$44,"LeadEntity","Coordinating Agency")</f>
        <v>0</v>
      </c>
      <c r="G13" s="71" t="s">
        <v>178</v>
      </c>
      <c r="H13" s="71" t="s">
        <v>178</v>
      </c>
      <c r="I13" s="79" t="s">
        <v>178</v>
      </c>
      <c r="O13" s="32" t="s">
        <v>649</v>
      </c>
      <c r="P13" s="47">
        <v>5</v>
      </c>
    </row>
    <row r="14" spans="1:16" x14ac:dyDescent="0.3">
      <c r="A14" s="73" t="s">
        <v>635</v>
      </c>
      <c r="B14" s="66">
        <f>GETPIVOTDATA("Sum of TNReduction(lbs/yr)",$A$44,"LeadEntity","County Line Drainage District")</f>
        <v>0</v>
      </c>
      <c r="C14" s="71" t="s">
        <v>178</v>
      </c>
      <c r="D14" s="71" t="s">
        <v>178</v>
      </c>
      <c r="E14" s="71" t="s">
        <v>178</v>
      </c>
      <c r="F14" s="66">
        <f>GETPIVOTDATA("Sum of TPReduction(lbs/yr)",$A$44,"LeadEntity","County Line Drainage District")</f>
        <v>0</v>
      </c>
      <c r="G14" s="71" t="s">
        <v>178</v>
      </c>
      <c r="H14" s="71" t="s">
        <v>178</v>
      </c>
      <c r="I14" s="79" t="s">
        <v>178</v>
      </c>
      <c r="O14" s="32" t="s">
        <v>655</v>
      </c>
      <c r="P14" s="47">
        <v>5</v>
      </c>
    </row>
    <row r="15" spans="1:16" x14ac:dyDescent="0.3">
      <c r="A15" s="73" t="s">
        <v>649</v>
      </c>
      <c r="B15" s="66">
        <f>GETPIVOTDATA("Sum of TNReduction(lbs/yr)",$A$44,"LeadEntity","Cow Slough WCD")</f>
        <v>0</v>
      </c>
      <c r="C15" s="71" t="s">
        <v>178</v>
      </c>
      <c r="D15" s="71" t="s">
        <v>178</v>
      </c>
      <c r="E15" s="71" t="s">
        <v>178</v>
      </c>
      <c r="F15" s="66">
        <f>GETPIVOTDATA("Sum of TPReduction(lbs/yr)",$A$44,"LeadEntity","Cow Slough WCD")</f>
        <v>0</v>
      </c>
      <c r="G15" s="71" t="s">
        <v>178</v>
      </c>
      <c r="H15" s="71" t="s">
        <v>178</v>
      </c>
      <c r="I15" s="79" t="s">
        <v>178</v>
      </c>
      <c r="O15" s="32" t="s">
        <v>661</v>
      </c>
      <c r="P15" s="47">
        <v>5</v>
      </c>
    </row>
    <row r="16" spans="1:16" x14ac:dyDescent="0.3">
      <c r="A16" s="73" t="s">
        <v>655</v>
      </c>
      <c r="B16" s="66">
        <f>GETPIVOTDATA("Sum of TNReduction(lbs/yr)",$A$44,"LeadEntity","Devil's Garden WCD")</f>
        <v>0</v>
      </c>
      <c r="C16" s="71" t="s">
        <v>178</v>
      </c>
      <c r="D16" s="71" t="s">
        <v>178</v>
      </c>
      <c r="E16" s="71" t="s">
        <v>178</v>
      </c>
      <c r="F16" s="66">
        <f>GETPIVOTDATA("Sum of TPReduction(lbs/yr)",$A$44,"LeadEntity","Devil's Garden WCD")</f>
        <v>0</v>
      </c>
      <c r="G16" s="71" t="s">
        <v>178</v>
      </c>
      <c r="H16" s="71" t="s">
        <v>178</v>
      </c>
      <c r="I16" s="79" t="s">
        <v>178</v>
      </c>
      <c r="O16" s="32" t="s">
        <v>96</v>
      </c>
      <c r="P16" s="47">
        <v>6</v>
      </c>
    </row>
    <row r="17" spans="1:16" x14ac:dyDescent="0.3">
      <c r="A17" s="73" t="s">
        <v>661</v>
      </c>
      <c r="B17" s="66">
        <f>GETPIVOTDATA("Sum of TNReduction(lbs/yr)",$A$44,"LeadEntity","Disston Island Conservancy District")</f>
        <v>0</v>
      </c>
      <c r="C17" s="71" t="s">
        <v>178</v>
      </c>
      <c r="D17" s="71" t="s">
        <v>178</v>
      </c>
      <c r="E17" s="71" t="s">
        <v>178</v>
      </c>
      <c r="F17" s="66">
        <f>GETPIVOTDATA("Sum of TPReduction(lbs/yr)",$A$44,"LeadEntity","Disston Island Conservancy District")</f>
        <v>0</v>
      </c>
      <c r="G17" s="71" t="s">
        <v>178</v>
      </c>
      <c r="H17" s="71" t="s">
        <v>178</v>
      </c>
      <c r="I17" s="79" t="s">
        <v>178</v>
      </c>
      <c r="O17" s="32" t="s">
        <v>427</v>
      </c>
      <c r="P17" s="47">
        <v>31</v>
      </c>
    </row>
    <row r="18" spans="1:16" x14ac:dyDescent="0.3">
      <c r="A18" s="73" t="s">
        <v>96</v>
      </c>
      <c r="B18" s="66">
        <f>GETPIVOTDATA("Sum of TNReduction(lbs/yr)",$A$44,"LeadEntity","FDACS")</f>
        <v>425081.05929751985</v>
      </c>
      <c r="C18" s="66">
        <v>707723.1</v>
      </c>
      <c r="D18" s="66">
        <f t="shared" si="0"/>
        <v>282642.04070248012</v>
      </c>
      <c r="E18" s="76">
        <f>B18/C18</f>
        <v>0.60063188455699679</v>
      </c>
      <c r="F18" s="66">
        <f>GETPIVOTDATA("Sum of TPReduction(lbs/yr)",$A$44,"LeadEntity","FDACS")</f>
        <v>21596.57625827863</v>
      </c>
      <c r="G18" s="66">
        <v>22811.3</v>
      </c>
      <c r="H18" s="66">
        <f>G18-F18</f>
        <v>1214.7237417213692</v>
      </c>
      <c r="I18" s="76">
        <f>F18/G18</f>
        <v>0.94674903483267636</v>
      </c>
      <c r="O18" s="32" t="s">
        <v>672</v>
      </c>
      <c r="P18" s="47">
        <v>5</v>
      </c>
    </row>
    <row r="19" spans="1:16" x14ac:dyDescent="0.3">
      <c r="A19" s="73" t="s">
        <v>427</v>
      </c>
      <c r="B19" s="66">
        <f>GETPIVOTDATA("Sum of TNReduction(lbs/yr)",$A$44,"LeadEntity","FDOT District 1")</f>
        <v>11401.175606434928</v>
      </c>
      <c r="C19" s="66">
        <v>6358.2</v>
      </c>
      <c r="D19" s="66">
        <f t="shared" si="0"/>
        <v>-5042.9756064349285</v>
      </c>
      <c r="E19" s="76">
        <f>B19/C19</f>
        <v>1.7931451678831947</v>
      </c>
      <c r="F19" s="66">
        <f>GETPIVOTDATA("Sum of TPReduction(lbs/yr)",$A$44,"LeadEntity","FDOT District 1")</f>
        <v>1055.7076447399461</v>
      </c>
      <c r="G19" s="66">
        <v>232.4</v>
      </c>
      <c r="H19" s="66">
        <f>G19-F19</f>
        <v>-823.30764473994611</v>
      </c>
      <c r="I19" s="76">
        <f>F19/G19</f>
        <v>4.5426318620479611</v>
      </c>
      <c r="O19" s="32" t="s">
        <v>679</v>
      </c>
      <c r="P19" s="47">
        <v>5</v>
      </c>
    </row>
    <row r="20" spans="1:16" x14ac:dyDescent="0.3">
      <c r="A20" s="73" t="s">
        <v>672</v>
      </c>
      <c r="B20" s="66">
        <f>GETPIVOTDATA("Sum of TNReduction(lbs/yr)",$A$44,"LeadEntity","Flaghole Drainage District")</f>
        <v>0</v>
      </c>
      <c r="C20" s="71" t="s">
        <v>178</v>
      </c>
      <c r="D20" s="71" t="s">
        <v>178</v>
      </c>
      <c r="E20" s="71" t="s">
        <v>178</v>
      </c>
      <c r="F20" s="66">
        <f>GETPIVOTDATA("Sum of TPReduction(lbs/yr)",$A$44,"LeadEntity","Flaghole Drainage District")</f>
        <v>0</v>
      </c>
      <c r="G20" s="71" t="s">
        <v>178</v>
      </c>
      <c r="H20" s="71" t="s">
        <v>178</v>
      </c>
      <c r="I20" s="79" t="s">
        <v>178</v>
      </c>
      <c r="O20" s="32" t="s">
        <v>567</v>
      </c>
      <c r="P20" s="47">
        <v>3</v>
      </c>
    </row>
    <row r="21" spans="1:16" x14ac:dyDescent="0.3">
      <c r="A21" s="73" t="s">
        <v>679</v>
      </c>
      <c r="B21" s="66">
        <f>GETPIVOTDATA("Sum of TNReduction(lbs/yr)",$A$44,"LeadEntity","Gerber Groves WCD")</f>
        <v>0</v>
      </c>
      <c r="C21" s="71" t="s">
        <v>178</v>
      </c>
      <c r="D21" s="71" t="s">
        <v>178</v>
      </c>
      <c r="E21" s="71" t="s">
        <v>178</v>
      </c>
      <c r="F21" s="66">
        <f>GETPIVOTDATA("Sum of TPReduction(lbs/yr)",$A$44,"LeadEntity","Gerber Groves WCD")</f>
        <v>0</v>
      </c>
      <c r="G21" s="71" t="s">
        <v>178</v>
      </c>
      <c r="H21" s="71" t="s">
        <v>178</v>
      </c>
      <c r="I21" s="79" t="s">
        <v>178</v>
      </c>
      <c r="O21" s="32" t="s">
        <v>685</v>
      </c>
      <c r="P21" s="47">
        <v>5</v>
      </c>
    </row>
    <row r="22" spans="1:16" x14ac:dyDescent="0.3">
      <c r="A22" s="73" t="s">
        <v>567</v>
      </c>
      <c r="B22" s="66">
        <f>GETPIVOTDATA("Sum of TNReduction(lbs/yr)",$A$44,"LeadEntity","Glades County")</f>
        <v>1564.0296893829764</v>
      </c>
      <c r="C22" s="66">
        <v>7149.2</v>
      </c>
      <c r="D22" s="66">
        <f t="shared" si="0"/>
        <v>5585.1703106170235</v>
      </c>
      <c r="E22" s="76">
        <f>B22/C22</f>
        <v>0.21876988885231585</v>
      </c>
      <c r="F22" s="66">
        <f>GETPIVOTDATA("Sum of TPReduction(lbs/yr)",$A$44,"LeadEntity","Glades County")</f>
        <v>299.09398854493202</v>
      </c>
      <c r="G22" s="66">
        <v>385.6</v>
      </c>
      <c r="H22" s="66">
        <f>G22-F22</f>
        <v>86.506011455068005</v>
      </c>
      <c r="I22" s="76">
        <f>F22/G22</f>
        <v>0.7756586839858195</v>
      </c>
      <c r="O22" s="32" t="s">
        <v>101</v>
      </c>
      <c r="P22" s="47">
        <v>18</v>
      </c>
    </row>
    <row r="23" spans="1:16" x14ac:dyDescent="0.3">
      <c r="A23" s="73" t="s">
        <v>780</v>
      </c>
      <c r="B23" s="74"/>
      <c r="C23" s="72">
        <v>16131.6</v>
      </c>
      <c r="D23" s="66">
        <f t="shared" si="0"/>
        <v>16131.6</v>
      </c>
      <c r="E23" s="76">
        <f>B23/C23</f>
        <v>0</v>
      </c>
      <c r="F23" s="74"/>
      <c r="G23" s="72">
        <v>1235.2</v>
      </c>
      <c r="H23" s="66">
        <f>G23-F23</f>
        <v>1235.2</v>
      </c>
      <c r="I23" s="80">
        <f>F23/G23</f>
        <v>0</v>
      </c>
      <c r="O23" s="32" t="s">
        <v>28</v>
      </c>
      <c r="P23" s="47">
        <v>50</v>
      </c>
    </row>
    <row r="24" spans="1:16" x14ac:dyDescent="0.3">
      <c r="A24" s="73" t="s">
        <v>685</v>
      </c>
      <c r="B24" s="72">
        <f>GETPIVOTDATA("Sum of TNReduction(lbs/yr)",$A$44,"LeadEntity","Hendry-Hilliard WCD")</f>
        <v>0</v>
      </c>
      <c r="C24" s="71" t="s">
        <v>178</v>
      </c>
      <c r="D24" s="71" t="s">
        <v>178</v>
      </c>
      <c r="E24" s="71" t="s">
        <v>178</v>
      </c>
      <c r="F24" s="72">
        <f>GETPIVOTDATA("Sum of TPReduction(lbs/yr)",$A$44,"LeadEntity","Hendry-Hilliard WCD")</f>
        <v>0</v>
      </c>
      <c r="G24" s="71" t="s">
        <v>178</v>
      </c>
      <c r="H24" s="71" t="s">
        <v>178</v>
      </c>
      <c r="I24" s="79" t="s">
        <v>178</v>
      </c>
      <c r="O24" s="32" t="s">
        <v>102</v>
      </c>
      <c r="P24" s="47">
        <v>2</v>
      </c>
    </row>
    <row r="25" spans="1:16" x14ac:dyDescent="0.3">
      <c r="A25" s="73" t="s">
        <v>101</v>
      </c>
      <c r="B25" s="66">
        <f>GETPIVOTDATA("Sum of TNReduction(lbs/yr)",$A$44,"LeadEntity","LA-MSID (formerly ECWCD)")</f>
        <v>35014.059785657264</v>
      </c>
      <c r="C25" s="66">
        <v>40791.1</v>
      </c>
      <c r="D25" s="66">
        <f t="shared" si="0"/>
        <v>5777.0402143427345</v>
      </c>
      <c r="E25" s="76">
        <f>B25/C25</f>
        <v>0.85837498340709772</v>
      </c>
      <c r="F25" s="66">
        <f>GETPIVOTDATA("Sum of TPReduction(lbs/yr)",$A$44,"LeadEntity","LA-MSID (formerly ECWCD)")</f>
        <v>6042.8552954741162</v>
      </c>
      <c r="G25" s="71" t="s">
        <v>178</v>
      </c>
      <c r="H25" s="71" t="s">
        <v>178</v>
      </c>
      <c r="I25" s="79" t="s">
        <v>178</v>
      </c>
      <c r="O25" s="32" t="s">
        <v>697</v>
      </c>
      <c r="P25" s="47">
        <v>4</v>
      </c>
    </row>
    <row r="26" spans="1:16" x14ac:dyDescent="0.3">
      <c r="A26" s="73" t="s">
        <v>28</v>
      </c>
      <c r="B26" s="66">
        <f>GETPIVOTDATA("Sum of TNReduction(lbs/yr)",$A$44,"LeadEntity","Lee County")</f>
        <v>133685.9207188919</v>
      </c>
      <c r="C26" s="66">
        <v>59228.800000000003</v>
      </c>
      <c r="D26" s="66">
        <f t="shared" si="0"/>
        <v>-74457.120718891892</v>
      </c>
      <c r="E26" s="76">
        <f>B26/C26</f>
        <v>2.2571100667055872</v>
      </c>
      <c r="F26" s="66">
        <f>GETPIVOTDATA("Sum of TPReduction(lbs/yr)",$A$44,"LeadEntity","Lee County")</f>
        <v>35416.086433237593</v>
      </c>
      <c r="G26" s="71" t="s">
        <v>178</v>
      </c>
      <c r="H26" s="71" t="s">
        <v>178</v>
      </c>
      <c r="I26" s="79" t="s">
        <v>178</v>
      </c>
      <c r="O26" s="32" t="s">
        <v>705</v>
      </c>
      <c r="P26" s="47">
        <v>5</v>
      </c>
    </row>
    <row r="27" spans="1:16" x14ac:dyDescent="0.3">
      <c r="A27" s="73" t="s">
        <v>102</v>
      </c>
      <c r="B27" s="66">
        <f>GETPIVOTDATA("Sum of TNReduction(lbs/yr)",$A$44,"LeadEntity","Lucaya CDD")</f>
        <v>3.5006835014194615</v>
      </c>
      <c r="C27" s="67">
        <v>0</v>
      </c>
      <c r="D27" s="67">
        <v>0</v>
      </c>
      <c r="E27" s="71" t="s">
        <v>178</v>
      </c>
      <c r="F27" s="66">
        <f>GETPIVOTDATA("Sum of TPReduction(lbs/yr)",$A$44,"LeadEntity","Lucaya CDD")</f>
        <v>0.84064282480933483</v>
      </c>
      <c r="G27" s="71" t="s">
        <v>178</v>
      </c>
      <c r="H27" s="71" t="s">
        <v>178</v>
      </c>
      <c r="I27" s="79" t="s">
        <v>178</v>
      </c>
      <c r="O27" s="32" t="s">
        <v>711</v>
      </c>
      <c r="P27" s="47">
        <v>1</v>
      </c>
    </row>
    <row r="28" spans="1:16" x14ac:dyDescent="0.3">
      <c r="A28" s="73" t="s">
        <v>776</v>
      </c>
      <c r="B28" s="74"/>
      <c r="C28" s="67">
        <v>0</v>
      </c>
      <c r="D28" s="67">
        <v>0</v>
      </c>
      <c r="E28" s="71" t="s">
        <v>178</v>
      </c>
      <c r="F28" s="74"/>
      <c r="G28" s="71" t="s">
        <v>178</v>
      </c>
      <c r="H28" s="71" t="s">
        <v>178</v>
      </c>
      <c r="I28" s="79" t="s">
        <v>178</v>
      </c>
      <c r="O28" s="32" t="s">
        <v>714</v>
      </c>
      <c r="P28" s="47">
        <v>1</v>
      </c>
    </row>
    <row r="29" spans="1:16" x14ac:dyDescent="0.3">
      <c r="A29" s="73" t="s">
        <v>697</v>
      </c>
      <c r="B29" s="66">
        <f>GETPIVOTDATA("Sum of TNReduction(lbs/yr)",$A$44,"LeadEntity","Portico CDD")</f>
        <v>66.242142460780002</v>
      </c>
      <c r="C29" s="67">
        <v>0</v>
      </c>
      <c r="D29" s="67">
        <v>0</v>
      </c>
      <c r="E29" s="71" t="s">
        <v>178</v>
      </c>
      <c r="F29" s="66">
        <f>GETPIVOTDATA("Sum of TPReduction(lbs/yr)",$A$44,"LeadEntity","Portico CDD")</f>
        <v>7.6119449637880008</v>
      </c>
      <c r="G29" s="71" t="s">
        <v>178</v>
      </c>
      <c r="H29" s="71" t="s">
        <v>178</v>
      </c>
      <c r="I29" s="79" t="s">
        <v>178</v>
      </c>
      <c r="O29" s="32" t="s">
        <v>590</v>
      </c>
      <c r="P29" s="47"/>
    </row>
    <row r="30" spans="1:16" x14ac:dyDescent="0.3">
      <c r="A30" s="73" t="s">
        <v>775</v>
      </c>
      <c r="B30" s="74"/>
      <c r="C30" s="66">
        <v>1676.2</v>
      </c>
      <c r="D30" s="66">
        <f t="shared" si="0"/>
        <v>1676.2</v>
      </c>
      <c r="E30" s="76">
        <f>B30/C30</f>
        <v>0</v>
      </c>
      <c r="F30" s="74"/>
      <c r="G30" s="71" t="s">
        <v>178</v>
      </c>
      <c r="H30" s="71" t="s">
        <v>178</v>
      </c>
      <c r="I30" s="79" t="s">
        <v>178</v>
      </c>
      <c r="O30" s="32" t="s">
        <v>840</v>
      </c>
      <c r="P30" s="47">
        <v>3</v>
      </c>
    </row>
    <row r="31" spans="1:16" x14ac:dyDescent="0.3">
      <c r="A31" s="73" t="s">
        <v>777</v>
      </c>
      <c r="B31" s="74"/>
      <c r="C31" s="67">
        <v>0</v>
      </c>
      <c r="D31" s="67">
        <v>0</v>
      </c>
      <c r="E31" s="71" t="s">
        <v>178</v>
      </c>
      <c r="F31" s="74"/>
      <c r="G31" s="71" t="s">
        <v>178</v>
      </c>
      <c r="H31" s="71" t="s">
        <v>178</v>
      </c>
      <c r="I31" s="79" t="s">
        <v>178</v>
      </c>
      <c r="O31" s="32" t="s">
        <v>774</v>
      </c>
      <c r="P31" s="47">
        <v>3</v>
      </c>
    </row>
    <row r="32" spans="1:16" x14ac:dyDescent="0.3">
      <c r="A32" s="73" t="s">
        <v>705</v>
      </c>
      <c r="B32" s="66">
        <f>GETPIVOTDATA("Sum of TNReduction(lbs/yr)",$A$44,"LeadEntity","Sugarland Drainage District")</f>
        <v>0</v>
      </c>
      <c r="C32" s="71" t="s">
        <v>178</v>
      </c>
      <c r="D32" s="71" t="s">
        <v>178</v>
      </c>
      <c r="E32" s="71" t="s">
        <v>178</v>
      </c>
      <c r="F32" s="66">
        <f>GETPIVOTDATA("Sum of TPReduction(lbs/yr)",$A$44,"LeadEntity","Sugarland Drainage District")</f>
        <v>0</v>
      </c>
      <c r="G32" s="71" t="s">
        <v>178</v>
      </c>
      <c r="H32" s="71" t="s">
        <v>178</v>
      </c>
      <c r="I32" s="79" t="s">
        <v>178</v>
      </c>
      <c r="O32" s="32" t="s">
        <v>879</v>
      </c>
      <c r="P32" s="47">
        <v>2</v>
      </c>
    </row>
    <row r="33" spans="1:16" x14ac:dyDescent="0.3">
      <c r="A33" s="73" t="s">
        <v>711</v>
      </c>
      <c r="B33" s="66">
        <f>GETPIVOTDATA("Sum of TNReduction(lbs/yr)",$A$44,"LeadEntity","Verandah East CDD")</f>
        <v>116.54315594848701</v>
      </c>
      <c r="C33" s="67">
        <v>0</v>
      </c>
      <c r="D33" s="67">
        <v>0</v>
      </c>
      <c r="E33" s="71" t="s">
        <v>178</v>
      </c>
      <c r="F33" s="66">
        <f>GETPIVOTDATA("Sum of TPReduction(lbs/yr)",$A$44,"LeadEntity","Verandah East CDD")</f>
        <v>15.051627967223292</v>
      </c>
      <c r="G33" s="71" t="s">
        <v>178</v>
      </c>
      <c r="H33" s="71" t="s">
        <v>178</v>
      </c>
      <c r="I33" s="79" t="s">
        <v>178</v>
      </c>
      <c r="O33" s="32" t="s">
        <v>884</v>
      </c>
      <c r="P33" s="47">
        <v>1</v>
      </c>
    </row>
    <row r="34" spans="1:16" x14ac:dyDescent="0.3">
      <c r="A34" s="73" t="s">
        <v>714</v>
      </c>
      <c r="B34" s="66">
        <f>GETPIVOTDATA("Sum of TNReduction(lbs/yr)",$A$44,"LeadEntity","Verandah West CDD")</f>
        <v>180.34872436642615</v>
      </c>
      <c r="C34" s="67">
        <v>0</v>
      </c>
      <c r="D34" s="67">
        <v>0</v>
      </c>
      <c r="E34" s="71" t="s">
        <v>178</v>
      </c>
      <c r="F34" s="66">
        <f>GETPIVOTDATA("Sum of TPReduction(lbs/yr)",$A$44,"LeadEntity","Verandah West CDD")</f>
        <v>29.137580185064948</v>
      </c>
      <c r="G34" s="71" t="s">
        <v>178</v>
      </c>
      <c r="H34" s="71" t="s">
        <v>178</v>
      </c>
      <c r="I34" s="79" t="s">
        <v>178</v>
      </c>
      <c r="O34" s="32" t="s">
        <v>5</v>
      </c>
      <c r="P34" s="47">
        <v>231</v>
      </c>
    </row>
    <row r="35" spans="1:16" x14ac:dyDescent="0.3">
      <c r="A35" s="69" t="s">
        <v>779</v>
      </c>
      <c r="B35" s="70">
        <f>SUM(B3:B34)</f>
        <v>707934.87512393727</v>
      </c>
      <c r="C35" s="70">
        <f>SUM(C3:C34)</f>
        <v>908235.89999999979</v>
      </c>
      <c r="D35" s="70">
        <f>C35-B35</f>
        <v>200301.02487606253</v>
      </c>
      <c r="E35" s="77">
        <f>B35/C35</f>
        <v>0.7794614539283653</v>
      </c>
      <c r="F35" s="70">
        <f>SUM(F3:F34)</f>
        <v>78031.260327950018</v>
      </c>
      <c r="G35" s="70">
        <f>SUM(G3:G34)</f>
        <v>24980.3</v>
      </c>
      <c r="H35" s="70">
        <f>SUM(H3:H34)</f>
        <v>1945.435916219963</v>
      </c>
      <c r="I35" s="77">
        <f>F35/G35</f>
        <v>3.1237118980936986</v>
      </c>
    </row>
    <row r="37" spans="1:16" x14ac:dyDescent="0.3">
      <c r="C37" s="68"/>
    </row>
    <row r="42" spans="1:16" x14ac:dyDescent="0.3">
      <c r="A42" s="34" t="s">
        <v>411</v>
      </c>
      <c r="B42" t="s">
        <v>349</v>
      </c>
    </row>
    <row r="44" spans="1:16" x14ac:dyDescent="0.3">
      <c r="A44" s="34" t="s">
        <v>4</v>
      </c>
      <c r="B44" s="29" t="s">
        <v>435</v>
      </c>
      <c r="C44" s="29" t="s">
        <v>439</v>
      </c>
    </row>
    <row r="45" spans="1:16" x14ac:dyDescent="0.3">
      <c r="A45" s="20" t="s">
        <v>600</v>
      </c>
      <c r="B45" s="29">
        <v>0</v>
      </c>
      <c r="C45" s="29">
        <v>0</v>
      </c>
    </row>
    <row r="46" spans="1:16" x14ac:dyDescent="0.3">
      <c r="A46" s="20" t="s">
        <v>58</v>
      </c>
      <c r="B46" s="29">
        <v>1272.2774924126636</v>
      </c>
      <c r="C46" s="29">
        <v>212.39781875572319</v>
      </c>
    </row>
    <row r="47" spans="1:16" x14ac:dyDescent="0.3">
      <c r="A47" s="20" t="s">
        <v>77</v>
      </c>
      <c r="B47" s="29">
        <v>81015.197571204364</v>
      </c>
      <c r="C47" s="29">
        <v>7197.3835203990811</v>
      </c>
    </row>
    <row r="48" spans="1:16" x14ac:dyDescent="0.3">
      <c r="A48" s="20" t="s">
        <v>546</v>
      </c>
      <c r="B48" s="29">
        <v>299.12394160844946</v>
      </c>
      <c r="C48" s="29">
        <v>83.486192216528138</v>
      </c>
    </row>
    <row r="49" spans="1:3" x14ac:dyDescent="0.3">
      <c r="A49" s="20" t="s">
        <v>78</v>
      </c>
      <c r="B49" s="29">
        <v>18235.396314547892</v>
      </c>
      <c r="C49" s="29">
        <v>6075.0313803625704</v>
      </c>
    </row>
    <row r="50" spans="1:3" x14ac:dyDescent="0.3">
      <c r="A50" s="20" t="s">
        <v>693</v>
      </c>
      <c r="B50" s="29">
        <v>175.38132308276161</v>
      </c>
      <c r="C50" s="29">
        <v>0</v>
      </c>
    </row>
    <row r="51" spans="1:3" x14ac:dyDescent="0.3">
      <c r="A51" s="20" t="s">
        <v>627</v>
      </c>
      <c r="B51" s="29">
        <v>0</v>
      </c>
      <c r="C51" s="29">
        <v>0</v>
      </c>
    </row>
    <row r="52" spans="1:3" x14ac:dyDescent="0.3">
      <c r="A52" s="20" t="s">
        <v>643</v>
      </c>
      <c r="B52" s="29">
        <v>0</v>
      </c>
      <c r="C52" s="29">
        <v>0</v>
      </c>
    </row>
    <row r="53" spans="1:3" x14ac:dyDescent="0.3">
      <c r="A53" s="20" t="s">
        <v>591</v>
      </c>
      <c r="B53" s="29">
        <v>0</v>
      </c>
      <c r="C53" s="29">
        <v>0</v>
      </c>
    </row>
    <row r="54" spans="1:3" x14ac:dyDescent="0.3">
      <c r="A54" s="20" t="s">
        <v>635</v>
      </c>
      <c r="B54" s="29">
        <v>0</v>
      </c>
      <c r="C54" s="29">
        <v>0</v>
      </c>
    </row>
    <row r="55" spans="1:3" x14ac:dyDescent="0.3">
      <c r="A55" s="20" t="s">
        <v>649</v>
      </c>
      <c r="B55" s="29">
        <v>0</v>
      </c>
      <c r="C55" s="29">
        <v>0</v>
      </c>
    </row>
    <row r="56" spans="1:3" x14ac:dyDescent="0.3">
      <c r="A56" s="20" t="s">
        <v>655</v>
      </c>
      <c r="B56" s="29">
        <v>0</v>
      </c>
      <c r="C56" s="29">
        <v>0</v>
      </c>
    </row>
    <row r="57" spans="1:3" x14ac:dyDescent="0.3">
      <c r="A57" s="20" t="s">
        <v>661</v>
      </c>
      <c r="B57" s="29">
        <v>0</v>
      </c>
      <c r="C57" s="29">
        <v>0</v>
      </c>
    </row>
    <row r="58" spans="1:3" x14ac:dyDescent="0.3">
      <c r="A58" s="20" t="s">
        <v>96</v>
      </c>
      <c r="B58" s="29">
        <v>425081.05929751985</v>
      </c>
      <c r="C58" s="29">
        <v>21596.57625827863</v>
      </c>
    </row>
    <row r="59" spans="1:3" x14ac:dyDescent="0.3">
      <c r="A59" s="20" t="s">
        <v>427</v>
      </c>
      <c r="B59" s="29">
        <v>11401.175606434928</v>
      </c>
      <c r="C59" s="29">
        <v>1055.7076447399461</v>
      </c>
    </row>
    <row r="60" spans="1:3" x14ac:dyDescent="0.3">
      <c r="A60" s="20" t="s">
        <v>672</v>
      </c>
      <c r="B60" s="29">
        <v>0</v>
      </c>
      <c r="C60" s="29">
        <v>0</v>
      </c>
    </row>
    <row r="61" spans="1:3" x14ac:dyDescent="0.3">
      <c r="A61" s="20" t="s">
        <v>679</v>
      </c>
      <c r="B61" s="29">
        <v>0</v>
      </c>
      <c r="C61" s="29">
        <v>0</v>
      </c>
    </row>
    <row r="62" spans="1:3" x14ac:dyDescent="0.3">
      <c r="A62" s="20" t="s">
        <v>567</v>
      </c>
      <c r="B62" s="29">
        <v>1564.0296893829764</v>
      </c>
      <c r="C62" s="29">
        <v>299.09398854493202</v>
      </c>
    </row>
    <row r="63" spans="1:3" x14ac:dyDescent="0.3">
      <c r="A63" s="20" t="s">
        <v>685</v>
      </c>
      <c r="B63" s="29">
        <v>0</v>
      </c>
      <c r="C63" s="29">
        <v>0</v>
      </c>
    </row>
    <row r="64" spans="1:3" x14ac:dyDescent="0.3">
      <c r="A64" s="20" t="s">
        <v>101</v>
      </c>
      <c r="B64" s="29">
        <v>35014.059785657264</v>
      </c>
      <c r="C64" s="29">
        <v>6042.8552954741162</v>
      </c>
    </row>
    <row r="65" spans="1:3" x14ac:dyDescent="0.3">
      <c r="A65" s="20" t="s">
        <v>28</v>
      </c>
      <c r="B65" s="29">
        <v>133685.9207188919</v>
      </c>
      <c r="C65" s="29">
        <v>35416.086433237593</v>
      </c>
    </row>
    <row r="66" spans="1:3" x14ac:dyDescent="0.3">
      <c r="A66" s="20" t="s">
        <v>102</v>
      </c>
      <c r="B66" s="29">
        <v>3.5006835014194615</v>
      </c>
      <c r="C66" s="29">
        <v>0.84064282480933483</v>
      </c>
    </row>
    <row r="67" spans="1:3" x14ac:dyDescent="0.3">
      <c r="A67" s="20" t="s">
        <v>697</v>
      </c>
      <c r="B67" s="29">
        <v>66.242142460780002</v>
      </c>
      <c r="C67" s="29">
        <v>7.6119449637880008</v>
      </c>
    </row>
    <row r="68" spans="1:3" x14ac:dyDescent="0.3">
      <c r="A68" s="20" t="s">
        <v>705</v>
      </c>
      <c r="B68" s="29">
        <v>0</v>
      </c>
      <c r="C68" s="29">
        <v>0</v>
      </c>
    </row>
    <row r="69" spans="1:3" x14ac:dyDescent="0.3">
      <c r="A69" s="20" t="s">
        <v>711</v>
      </c>
      <c r="B69" s="29">
        <v>116.54315594848701</v>
      </c>
      <c r="C69" s="29">
        <v>15.051627967223292</v>
      </c>
    </row>
    <row r="70" spans="1:3" x14ac:dyDescent="0.3">
      <c r="A70" s="20" t="s">
        <v>714</v>
      </c>
      <c r="B70" s="29">
        <v>180.34872436642615</v>
      </c>
      <c r="C70" s="29">
        <v>29.137580185064948</v>
      </c>
    </row>
    <row r="71" spans="1:3" x14ac:dyDescent="0.3">
      <c r="A71" s="20" t="s">
        <v>879</v>
      </c>
      <c r="B71" s="29">
        <v>0</v>
      </c>
      <c r="C71" s="29">
        <v>0</v>
      </c>
    </row>
    <row r="72" spans="1:3" x14ac:dyDescent="0.3">
      <c r="A72" s="20" t="s">
        <v>5</v>
      </c>
      <c r="B72" s="29">
        <v>708110.2564470201</v>
      </c>
      <c r="C72" s="29">
        <v>78031.260327950018</v>
      </c>
    </row>
  </sheetData>
  <sortState xmlns:xlrd2="http://schemas.microsoft.com/office/spreadsheetml/2017/richdata2" ref="A3:I34">
    <sortCondition ref="A3:A34"/>
  </sortState>
  <pageMargins left="0.7" right="0.7" top="0.75" bottom="0.75" header="0.3" footer="0.3"/>
  <pageSetup orientation="portrait" r:id="rId3"/>
  <customProperties>
    <customPr name="LastActive" r:id="rId4"/>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0"/>
  <sheetViews>
    <sheetView workbookViewId="0">
      <selection activeCell="B13" sqref="B13"/>
    </sheetView>
  </sheetViews>
  <sheetFormatPr defaultRowHeight="14.4" x14ac:dyDescent="0.3"/>
  <cols>
    <col min="1" max="1" width="21" style="38" bestFit="1" customWidth="1"/>
    <col min="2" max="2" width="16.33203125" style="38" bestFit="1" customWidth="1"/>
    <col min="3" max="3" width="8.44140625" style="29" bestFit="1" customWidth="1"/>
    <col min="4" max="4" width="8.33203125" style="39" bestFit="1" customWidth="1"/>
    <col min="5" max="5" width="10.109375" bestFit="1" customWidth="1"/>
    <col min="6" max="6" width="11.33203125" bestFit="1" customWidth="1"/>
    <col min="8" max="8" width="13.109375" bestFit="1" customWidth="1"/>
    <col min="9" max="9" width="21" bestFit="1" customWidth="1"/>
  </cols>
  <sheetData>
    <row r="1" spans="1:6" x14ac:dyDescent="0.3">
      <c r="A1" s="34" t="s">
        <v>411</v>
      </c>
      <c r="B1" t="s">
        <v>349</v>
      </c>
      <c r="C1"/>
    </row>
    <row r="2" spans="1:6" x14ac:dyDescent="0.3">
      <c r="A2"/>
      <c r="B2"/>
      <c r="C2"/>
    </row>
    <row r="3" spans="1:6" x14ac:dyDescent="0.3">
      <c r="A3" t="s">
        <v>437</v>
      </c>
      <c r="B3" t="s">
        <v>438</v>
      </c>
      <c r="C3" t="s">
        <v>435</v>
      </c>
      <c r="D3" t="s">
        <v>439</v>
      </c>
      <c r="E3" t="s">
        <v>436</v>
      </c>
    </row>
    <row r="4" spans="1:6" x14ac:dyDescent="0.3">
      <c r="A4" s="38">
        <v>259940353.74000001</v>
      </c>
      <c r="B4" s="38">
        <v>2596433.2999999998</v>
      </c>
      <c r="C4" s="29">
        <v>708110.25644701999</v>
      </c>
      <c r="D4" s="29">
        <v>78031.260327950004</v>
      </c>
      <c r="E4" s="29">
        <v>154</v>
      </c>
    </row>
    <row r="5" spans="1:6" x14ac:dyDescent="0.3">
      <c r="A5"/>
      <c r="B5"/>
      <c r="C5"/>
    </row>
    <row r="6" spans="1:6" x14ac:dyDescent="0.3">
      <c r="A6" s="34" t="s">
        <v>411</v>
      </c>
      <c r="B6" t="s">
        <v>349</v>
      </c>
      <c r="C6"/>
    </row>
    <row r="7" spans="1:6" x14ac:dyDescent="0.3">
      <c r="A7"/>
      <c r="B7"/>
      <c r="C7"/>
    </row>
    <row r="8" spans="1:6" x14ac:dyDescent="0.3">
      <c r="A8" t="s">
        <v>437</v>
      </c>
      <c r="B8" t="s">
        <v>438</v>
      </c>
      <c r="C8" t="s">
        <v>435</v>
      </c>
      <c r="D8" t="s">
        <v>439</v>
      </c>
    </row>
    <row r="9" spans="1:6" x14ac:dyDescent="0.3">
      <c r="A9" s="38">
        <v>1016855714.5700001</v>
      </c>
      <c r="B9" s="38">
        <v>2233438</v>
      </c>
      <c r="C9" s="29">
        <v>34734.802006892598</v>
      </c>
      <c r="D9" s="29">
        <v>8034.0056978068233</v>
      </c>
    </row>
    <row r="10" spans="1:6" x14ac:dyDescent="0.3">
      <c r="A10"/>
      <c r="B10"/>
      <c r="C10"/>
    </row>
    <row r="11" spans="1:6" x14ac:dyDescent="0.3">
      <c r="A11"/>
      <c r="B11"/>
      <c r="C11"/>
    </row>
    <row r="12" spans="1:6" x14ac:dyDescent="0.3">
      <c r="A12"/>
      <c r="B12"/>
      <c r="C12"/>
    </row>
    <row r="13" spans="1:6" x14ac:dyDescent="0.3">
      <c r="A13" s="34" t="s">
        <v>436</v>
      </c>
      <c r="B13" s="34" t="s">
        <v>745</v>
      </c>
      <c r="C13"/>
      <c r="D13"/>
    </row>
    <row r="14" spans="1:6" x14ac:dyDescent="0.3">
      <c r="A14" s="34" t="s">
        <v>4</v>
      </c>
      <c r="B14" t="s">
        <v>2</v>
      </c>
      <c r="C14" t="s">
        <v>1</v>
      </c>
      <c r="D14" t="s">
        <v>118</v>
      </c>
      <c r="E14" t="s">
        <v>322</v>
      </c>
      <c r="F14" t="s">
        <v>5</v>
      </c>
    </row>
    <row r="15" spans="1:6" x14ac:dyDescent="0.3">
      <c r="A15" s="20">
        <v>2012</v>
      </c>
      <c r="B15" s="45">
        <v>68</v>
      </c>
      <c r="C15" s="45">
        <v>12</v>
      </c>
      <c r="D15" s="45"/>
      <c r="E15" s="45">
        <v>1</v>
      </c>
      <c r="F15" s="45">
        <v>81</v>
      </c>
    </row>
    <row r="16" spans="1:6" x14ac:dyDescent="0.3">
      <c r="A16" s="20">
        <v>2014</v>
      </c>
      <c r="B16" s="45">
        <v>1</v>
      </c>
      <c r="C16" s="45">
        <v>1</v>
      </c>
      <c r="D16" s="45"/>
      <c r="E16" s="45"/>
      <c r="F16" s="45">
        <v>2</v>
      </c>
    </row>
    <row r="17" spans="1:6" x14ac:dyDescent="0.3">
      <c r="A17" s="20">
        <v>2015</v>
      </c>
      <c r="B17" s="45">
        <v>2</v>
      </c>
      <c r="C17" s="45"/>
      <c r="D17" s="45">
        <v>1</v>
      </c>
      <c r="E17" s="45"/>
      <c r="F17" s="45">
        <v>3</v>
      </c>
    </row>
    <row r="18" spans="1:6" x14ac:dyDescent="0.3">
      <c r="A18" s="20">
        <v>2016</v>
      </c>
      <c r="B18" s="45">
        <v>5</v>
      </c>
      <c r="C18" s="45"/>
      <c r="D18" s="45"/>
      <c r="E18" s="45"/>
      <c r="F18" s="45">
        <v>5</v>
      </c>
    </row>
    <row r="19" spans="1:6" x14ac:dyDescent="0.3">
      <c r="A19" s="20">
        <v>2017</v>
      </c>
      <c r="B19" s="45">
        <v>10</v>
      </c>
      <c r="C19" s="45"/>
      <c r="D19" s="45">
        <v>5</v>
      </c>
      <c r="E19" s="45">
        <v>7</v>
      </c>
      <c r="F19" s="45">
        <v>22</v>
      </c>
    </row>
    <row r="20" spans="1:6" x14ac:dyDescent="0.3">
      <c r="A20" s="20">
        <v>2018</v>
      </c>
      <c r="B20" s="45">
        <v>4</v>
      </c>
      <c r="C20" s="45"/>
      <c r="D20" s="45"/>
      <c r="E20" s="45">
        <v>2</v>
      </c>
      <c r="F20" s="45">
        <v>6</v>
      </c>
    </row>
    <row r="21" spans="1:6" x14ac:dyDescent="0.3">
      <c r="A21" s="20">
        <v>2019</v>
      </c>
      <c r="B21" s="45">
        <v>19</v>
      </c>
      <c r="C21" s="45">
        <v>22</v>
      </c>
      <c r="D21" s="45">
        <v>41</v>
      </c>
      <c r="E21" s="45">
        <v>7</v>
      </c>
      <c r="F21" s="45">
        <v>89</v>
      </c>
    </row>
    <row r="22" spans="1:6" x14ac:dyDescent="0.3">
      <c r="A22" s="20">
        <v>2020</v>
      </c>
      <c r="B22" s="45">
        <v>8</v>
      </c>
      <c r="C22" s="45">
        <v>2</v>
      </c>
      <c r="D22" s="45">
        <v>6</v>
      </c>
      <c r="E22" s="45">
        <v>7</v>
      </c>
      <c r="F22" s="45">
        <v>23</v>
      </c>
    </row>
    <row r="23" spans="1:6" x14ac:dyDescent="0.3">
      <c r="A23" s="20" t="s">
        <v>5</v>
      </c>
      <c r="B23" s="45">
        <v>117</v>
      </c>
      <c r="C23" s="45">
        <v>37</v>
      </c>
      <c r="D23" s="45">
        <v>53</v>
      </c>
      <c r="E23" s="45">
        <v>24</v>
      </c>
      <c r="F23" s="45">
        <v>231</v>
      </c>
    </row>
    <row r="24" spans="1:6" x14ac:dyDescent="0.3">
      <c r="A24"/>
      <c r="B24"/>
      <c r="C24"/>
    </row>
    <row r="25" spans="1:6" x14ac:dyDescent="0.3">
      <c r="A25"/>
      <c r="B25"/>
      <c r="C25"/>
    </row>
    <row r="26" spans="1:6" x14ac:dyDescent="0.3">
      <c r="A26"/>
      <c r="B26"/>
      <c r="C26"/>
    </row>
    <row r="27" spans="1:6" x14ac:dyDescent="0.3">
      <c r="A27"/>
      <c r="B27"/>
      <c r="C27"/>
    </row>
    <row r="28" spans="1:6" x14ac:dyDescent="0.3">
      <c r="A28"/>
      <c r="B28"/>
      <c r="C28"/>
    </row>
    <row r="29" spans="1:6" x14ac:dyDescent="0.3">
      <c r="A29"/>
      <c r="B29"/>
      <c r="C29"/>
    </row>
    <row r="30" spans="1:6" x14ac:dyDescent="0.3">
      <c r="A30"/>
      <c r="B30"/>
      <c r="C30"/>
    </row>
  </sheetData>
  <pageMargins left="0.7" right="0.7" top="0.75" bottom="0.75" header="0.3" footer="0.3"/>
  <pageSetup orientation="portrait" horizontalDpi="4294967295" verticalDpi="4294967295" r:id="rId4"/>
  <customProperties>
    <customPr name="LastActive" r:id="rId5"/>
  </customPropertie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12"/>
  <sheetViews>
    <sheetView zoomScale="70" zoomScaleNormal="70" workbookViewId="0"/>
  </sheetViews>
  <sheetFormatPr defaultRowHeight="14.4" x14ac:dyDescent="0.3"/>
  <cols>
    <col min="1" max="1" width="16.33203125" customWidth="1"/>
    <col min="2" max="2" width="13.33203125" customWidth="1"/>
    <col min="3" max="3" width="15.6640625" style="2" customWidth="1"/>
    <col min="4" max="4" width="15.6640625" customWidth="1"/>
    <col min="5" max="5" width="15.6640625" style="2" customWidth="1"/>
    <col min="6" max="6" width="17.33203125" style="7" customWidth="1"/>
    <col min="7" max="7" width="30.6640625" style="3" customWidth="1"/>
    <col min="8" max="9" width="15.6640625" style="6" customWidth="1"/>
    <col min="10" max="10" width="15.6640625" style="2" customWidth="1"/>
    <col min="11" max="12" width="15.6640625" style="1" customWidth="1"/>
    <col min="13" max="13" width="15.6640625" style="18" customWidth="1"/>
    <col min="14" max="14" width="15.6640625" style="5" customWidth="1"/>
    <col min="15" max="15" width="15.6640625" style="1" customWidth="1"/>
    <col min="16" max="17" width="15.6640625" style="85" customWidth="1"/>
    <col min="18" max="18" width="22.88671875" customWidth="1"/>
    <col min="19" max="19" width="16.6640625" bestFit="1" customWidth="1"/>
    <col min="20" max="20" width="18.5546875" bestFit="1" customWidth="1"/>
    <col min="21" max="21" width="17.44140625" bestFit="1" customWidth="1"/>
    <col min="22" max="22" width="15.6640625" style="1" customWidth="1"/>
    <col min="23" max="23" width="15.6640625" customWidth="1"/>
    <col min="24" max="24" width="15.6640625" style="2" customWidth="1"/>
    <col min="25" max="25" width="15.6640625" style="6" customWidth="1"/>
    <col min="26" max="26" width="18.6640625" style="1" bestFit="1" customWidth="1"/>
    <col min="27" max="27" width="14.44140625" style="1" bestFit="1" customWidth="1"/>
  </cols>
  <sheetData>
    <row r="1" spans="1:31" s="11" customFormat="1" ht="39.6" x14ac:dyDescent="0.25">
      <c r="A1" s="83" t="s">
        <v>807</v>
      </c>
      <c r="B1" s="83" t="s">
        <v>583</v>
      </c>
      <c r="C1" s="83" t="s">
        <v>811</v>
      </c>
      <c r="D1" s="83" t="s">
        <v>812</v>
      </c>
      <c r="E1" s="83" t="s">
        <v>813</v>
      </c>
      <c r="F1" s="83" t="s">
        <v>814</v>
      </c>
      <c r="G1" s="83" t="s">
        <v>815</v>
      </c>
      <c r="H1" s="83" t="s">
        <v>816</v>
      </c>
      <c r="I1" s="83" t="s">
        <v>817</v>
      </c>
      <c r="J1" s="83" t="s">
        <v>818</v>
      </c>
      <c r="K1" s="83" t="s">
        <v>819</v>
      </c>
      <c r="L1" s="83" t="s">
        <v>808</v>
      </c>
      <c r="M1" s="86" t="s">
        <v>820</v>
      </c>
      <c r="N1" s="86" t="s">
        <v>821</v>
      </c>
      <c r="O1" s="86" t="s">
        <v>822</v>
      </c>
      <c r="P1" s="86" t="s">
        <v>809</v>
      </c>
      <c r="Q1" s="86" t="s">
        <v>810</v>
      </c>
      <c r="R1" s="83" t="s">
        <v>823</v>
      </c>
      <c r="S1" s="86" t="s">
        <v>824</v>
      </c>
      <c r="T1" s="83" t="s">
        <v>825</v>
      </c>
      <c r="U1" s="87" t="s">
        <v>249</v>
      </c>
      <c r="V1" s="9" t="s">
        <v>0</v>
      </c>
      <c r="W1" s="10" t="s">
        <v>75</v>
      </c>
      <c r="X1" s="8" t="s">
        <v>94</v>
      </c>
      <c r="Y1" s="8" t="s">
        <v>8</v>
      </c>
      <c r="Z1" s="8" t="s">
        <v>95</v>
      </c>
      <c r="AA1" s="8" t="s">
        <v>9</v>
      </c>
    </row>
    <row r="2" spans="1:31" s="23" customFormat="1" ht="86.25" customHeight="1" x14ac:dyDescent="0.3">
      <c r="A2" s="19"/>
      <c r="B2" s="19" t="s">
        <v>582</v>
      </c>
      <c r="C2" s="19" t="s">
        <v>28</v>
      </c>
      <c r="D2" s="19" t="s">
        <v>186</v>
      </c>
      <c r="E2" s="19" t="s">
        <v>220</v>
      </c>
      <c r="F2" s="36" t="s">
        <v>804</v>
      </c>
      <c r="G2" s="13" t="s">
        <v>261</v>
      </c>
      <c r="H2" s="13" t="s">
        <v>116</v>
      </c>
      <c r="I2" s="13" t="s">
        <v>21</v>
      </c>
      <c r="J2" s="19" t="s">
        <v>114</v>
      </c>
      <c r="K2" s="15">
        <v>0</v>
      </c>
      <c r="L2" s="15"/>
      <c r="M2" s="17" t="s">
        <v>114</v>
      </c>
      <c r="N2" s="27" t="s">
        <v>114</v>
      </c>
      <c r="O2" s="13" t="s">
        <v>114</v>
      </c>
      <c r="P2" s="54"/>
      <c r="Q2" s="54"/>
      <c r="R2" s="19" t="s">
        <v>103</v>
      </c>
      <c r="S2" s="19" t="s">
        <v>399</v>
      </c>
      <c r="T2" s="19" t="s">
        <v>399</v>
      </c>
      <c r="U2" s="88" t="s">
        <v>265</v>
      </c>
      <c r="V2" s="19" t="s">
        <v>114</v>
      </c>
      <c r="W2" s="19" t="s">
        <v>114</v>
      </c>
      <c r="X2" s="19">
        <v>2016</v>
      </c>
      <c r="Y2" s="13" t="s">
        <v>7</v>
      </c>
      <c r="Z2" s="13" t="s">
        <v>113</v>
      </c>
      <c r="AA2" s="19"/>
      <c r="AE2" s="30"/>
    </row>
    <row r="3" spans="1:31" s="23" customFormat="1" ht="60.75" customHeight="1" x14ac:dyDescent="0.3">
      <c r="A3" s="19"/>
      <c r="B3" s="19" t="s">
        <v>582</v>
      </c>
      <c r="C3" s="19" t="s">
        <v>28</v>
      </c>
      <c r="D3" s="13" t="s">
        <v>399</v>
      </c>
      <c r="E3" s="19" t="s">
        <v>221</v>
      </c>
      <c r="F3" s="13" t="s">
        <v>214</v>
      </c>
      <c r="G3" s="13" t="s">
        <v>229</v>
      </c>
      <c r="H3" s="46" t="s">
        <v>784</v>
      </c>
      <c r="I3" s="13" t="s">
        <v>21</v>
      </c>
      <c r="J3" s="19" t="s">
        <v>114</v>
      </c>
      <c r="K3" s="24">
        <v>64067</v>
      </c>
      <c r="L3" s="24"/>
      <c r="M3" s="21" t="s">
        <v>114</v>
      </c>
      <c r="N3" s="21" t="s">
        <v>114</v>
      </c>
      <c r="O3" s="21" t="s">
        <v>114</v>
      </c>
      <c r="P3" s="84"/>
      <c r="Q3" s="84"/>
      <c r="R3" s="13" t="s">
        <v>103</v>
      </c>
      <c r="S3" s="19" t="s">
        <v>399</v>
      </c>
      <c r="T3" s="19" t="s">
        <v>399</v>
      </c>
      <c r="U3" s="88" t="s">
        <v>265</v>
      </c>
      <c r="V3" s="33" t="s">
        <v>114</v>
      </c>
      <c r="W3" s="19" t="s">
        <v>114</v>
      </c>
      <c r="X3" s="19">
        <v>2017</v>
      </c>
      <c r="Y3" s="13" t="s">
        <v>7</v>
      </c>
      <c r="Z3" s="19"/>
      <c r="AA3" s="19"/>
      <c r="AE3" s="30"/>
    </row>
    <row r="4" spans="1:31" s="23" customFormat="1" ht="66.75" customHeight="1" x14ac:dyDescent="0.3">
      <c r="A4" s="19"/>
      <c r="B4" s="19" t="s">
        <v>582</v>
      </c>
      <c r="C4" s="19" t="s">
        <v>28</v>
      </c>
      <c r="D4" s="13" t="s">
        <v>399</v>
      </c>
      <c r="E4" s="19" t="s">
        <v>222</v>
      </c>
      <c r="F4" s="13" t="s">
        <v>215</v>
      </c>
      <c r="G4" s="13" t="s">
        <v>262</v>
      </c>
      <c r="H4" s="13" t="s">
        <v>116</v>
      </c>
      <c r="I4" s="13" t="s">
        <v>21</v>
      </c>
      <c r="J4" s="19" t="s">
        <v>114</v>
      </c>
      <c r="K4" s="24">
        <v>15634</v>
      </c>
      <c r="L4" s="24"/>
      <c r="M4" s="21">
        <v>3843270</v>
      </c>
      <c r="N4" s="21" t="s">
        <v>114</v>
      </c>
      <c r="O4" s="21" t="s">
        <v>114</v>
      </c>
      <c r="P4" s="84"/>
      <c r="Q4" s="84"/>
      <c r="R4" s="13" t="s">
        <v>103</v>
      </c>
      <c r="S4" s="19" t="s">
        <v>399</v>
      </c>
      <c r="T4" s="19" t="s">
        <v>399</v>
      </c>
      <c r="U4" s="88" t="s">
        <v>265</v>
      </c>
      <c r="V4" s="24">
        <v>17636</v>
      </c>
      <c r="W4" s="19" t="s">
        <v>114</v>
      </c>
      <c r="X4" s="19">
        <v>2017</v>
      </c>
      <c r="Y4" s="13" t="s">
        <v>7</v>
      </c>
      <c r="Z4" s="19"/>
      <c r="AA4" s="19"/>
    </row>
    <row r="5" spans="1:31" s="23" customFormat="1" ht="73.5" customHeight="1" x14ac:dyDescent="0.3">
      <c r="A5" s="19"/>
      <c r="B5" s="19" t="s">
        <v>582</v>
      </c>
      <c r="C5" s="19" t="s">
        <v>28</v>
      </c>
      <c r="D5" s="13" t="s">
        <v>399</v>
      </c>
      <c r="E5" s="19" t="s">
        <v>223</v>
      </c>
      <c r="F5" s="13" t="s">
        <v>216</v>
      </c>
      <c r="G5" s="13" t="s">
        <v>263</v>
      </c>
      <c r="H5" s="13" t="s">
        <v>233</v>
      </c>
      <c r="I5" s="13" t="s">
        <v>21</v>
      </c>
      <c r="J5" s="19" t="s">
        <v>114</v>
      </c>
      <c r="K5" s="24">
        <v>9855</v>
      </c>
      <c r="L5" s="24"/>
      <c r="M5" s="21" t="s">
        <v>114</v>
      </c>
      <c r="N5" s="21" t="s">
        <v>114</v>
      </c>
      <c r="O5" s="13" t="s">
        <v>212</v>
      </c>
      <c r="P5" s="54"/>
      <c r="Q5" s="54"/>
      <c r="R5" s="13" t="s">
        <v>103</v>
      </c>
      <c r="S5" s="19" t="s">
        <v>399</v>
      </c>
      <c r="T5" s="19" t="s">
        <v>399</v>
      </c>
      <c r="U5" s="88" t="s">
        <v>265</v>
      </c>
      <c r="V5" s="33" t="s">
        <v>114</v>
      </c>
      <c r="W5" s="19" t="s">
        <v>114</v>
      </c>
      <c r="X5" s="19">
        <v>2017</v>
      </c>
      <c r="Y5" s="13" t="s">
        <v>7</v>
      </c>
      <c r="Z5" s="19"/>
      <c r="AA5" s="19"/>
      <c r="AE5" s="30"/>
    </row>
    <row r="6" spans="1:31" s="23" customFormat="1" ht="140.25" customHeight="1" x14ac:dyDescent="0.3">
      <c r="A6" s="19"/>
      <c r="B6" s="19" t="s">
        <v>582</v>
      </c>
      <c r="C6" s="19" t="s">
        <v>28</v>
      </c>
      <c r="D6" s="13" t="s">
        <v>399</v>
      </c>
      <c r="E6" s="19" t="s">
        <v>224</v>
      </c>
      <c r="F6" s="36" t="s">
        <v>292</v>
      </c>
      <c r="G6" s="22" t="s">
        <v>805</v>
      </c>
      <c r="H6" s="13" t="s">
        <v>116</v>
      </c>
      <c r="I6" s="13" t="s">
        <v>21</v>
      </c>
      <c r="J6" s="19" t="s">
        <v>114</v>
      </c>
      <c r="K6" s="21" t="s">
        <v>114</v>
      </c>
      <c r="L6" s="21"/>
      <c r="M6" s="21" t="s">
        <v>114</v>
      </c>
      <c r="N6" s="21" t="s">
        <v>114</v>
      </c>
      <c r="O6" s="33" t="s">
        <v>802</v>
      </c>
      <c r="P6" s="54"/>
      <c r="Q6" s="54"/>
      <c r="R6" s="13" t="s">
        <v>103</v>
      </c>
      <c r="S6" s="19" t="s">
        <v>399</v>
      </c>
      <c r="T6" s="19" t="s">
        <v>399</v>
      </c>
      <c r="U6" s="89" t="s">
        <v>803</v>
      </c>
      <c r="V6" s="33" t="s">
        <v>114</v>
      </c>
      <c r="W6" s="19" t="s">
        <v>114</v>
      </c>
      <c r="X6" s="19">
        <v>2017</v>
      </c>
      <c r="Y6" s="13" t="s">
        <v>7</v>
      </c>
      <c r="Z6" s="19"/>
      <c r="AA6" s="19"/>
    </row>
    <row r="7" spans="1:31" s="23" customFormat="1" ht="83.25" customHeight="1" x14ac:dyDescent="0.3">
      <c r="A7" s="19"/>
      <c r="B7" s="19" t="s">
        <v>582</v>
      </c>
      <c r="C7" s="19" t="s">
        <v>28</v>
      </c>
      <c r="D7" s="13" t="s">
        <v>399</v>
      </c>
      <c r="E7" s="19" t="s">
        <v>225</v>
      </c>
      <c r="F7" s="13" t="s">
        <v>232</v>
      </c>
      <c r="G7" s="13" t="s">
        <v>806</v>
      </c>
      <c r="H7" s="46" t="s">
        <v>784</v>
      </c>
      <c r="I7" s="13" t="s">
        <v>21</v>
      </c>
      <c r="J7" s="19" t="s">
        <v>114</v>
      </c>
      <c r="K7" s="24">
        <v>1981</v>
      </c>
      <c r="L7" s="24"/>
      <c r="M7" s="21">
        <v>2659059</v>
      </c>
      <c r="N7" s="21" t="s">
        <v>114</v>
      </c>
      <c r="O7" s="21" t="s">
        <v>114</v>
      </c>
      <c r="P7" s="84"/>
      <c r="Q7" s="84"/>
      <c r="R7" s="13" t="s">
        <v>103</v>
      </c>
      <c r="S7" s="19" t="s">
        <v>399</v>
      </c>
      <c r="T7" s="19" t="s">
        <v>399</v>
      </c>
      <c r="U7" s="88" t="s">
        <v>266</v>
      </c>
      <c r="V7" s="33" t="s">
        <v>114</v>
      </c>
      <c r="W7" s="19" t="s">
        <v>114</v>
      </c>
      <c r="X7" s="19">
        <v>2017</v>
      </c>
      <c r="Y7" s="13" t="s">
        <v>7</v>
      </c>
      <c r="Z7" s="19"/>
      <c r="AA7" s="19"/>
    </row>
    <row r="8" spans="1:31" s="23" customFormat="1" ht="62.25" customHeight="1" x14ac:dyDescent="0.3">
      <c r="A8" s="19"/>
      <c r="B8" s="19" t="s">
        <v>582</v>
      </c>
      <c r="C8" s="19" t="s">
        <v>28</v>
      </c>
      <c r="D8" s="19" t="s">
        <v>178</v>
      </c>
      <c r="E8" s="19" t="s">
        <v>226</v>
      </c>
      <c r="F8" s="13" t="s">
        <v>217</v>
      </c>
      <c r="G8" s="13" t="s">
        <v>264</v>
      </c>
      <c r="H8" s="13" t="s">
        <v>234</v>
      </c>
      <c r="I8" s="13" t="s">
        <v>21</v>
      </c>
      <c r="J8" s="19" t="s">
        <v>114</v>
      </c>
      <c r="K8" s="24">
        <v>1840</v>
      </c>
      <c r="L8" s="24"/>
      <c r="M8" s="28" t="s">
        <v>178</v>
      </c>
      <c r="N8" s="19" t="s">
        <v>178</v>
      </c>
      <c r="O8" s="13" t="s">
        <v>28</v>
      </c>
      <c r="P8" s="54"/>
      <c r="Q8" s="54"/>
      <c r="R8" s="13" t="s">
        <v>103</v>
      </c>
      <c r="S8" s="19" t="s">
        <v>399</v>
      </c>
      <c r="T8" s="19" t="s">
        <v>399</v>
      </c>
      <c r="U8" s="88" t="s">
        <v>265</v>
      </c>
      <c r="V8" s="19" t="s">
        <v>178</v>
      </c>
      <c r="W8" s="19" t="s">
        <v>114</v>
      </c>
      <c r="X8" s="19">
        <v>2017</v>
      </c>
      <c r="Y8" s="13" t="s">
        <v>237</v>
      </c>
      <c r="Z8" s="19"/>
      <c r="AA8" s="19"/>
    </row>
    <row r="9" spans="1:31" s="23" customFormat="1" ht="57" customHeight="1" x14ac:dyDescent="0.3">
      <c r="A9" s="19"/>
      <c r="B9" s="19" t="s">
        <v>582</v>
      </c>
      <c r="C9" s="19" t="s">
        <v>28</v>
      </c>
      <c r="D9" s="13" t="s">
        <v>399</v>
      </c>
      <c r="E9" s="19" t="s">
        <v>227</v>
      </c>
      <c r="F9" s="13" t="s">
        <v>218</v>
      </c>
      <c r="G9" s="13" t="s">
        <v>230</v>
      </c>
      <c r="H9" s="46" t="s">
        <v>785</v>
      </c>
      <c r="I9" s="13" t="s">
        <v>21</v>
      </c>
      <c r="J9" s="19" t="s">
        <v>114</v>
      </c>
      <c r="K9" s="24">
        <v>217</v>
      </c>
      <c r="L9" s="24"/>
      <c r="M9" s="21" t="s">
        <v>114</v>
      </c>
      <c r="N9" s="21" t="s">
        <v>114</v>
      </c>
      <c r="O9" s="13" t="s">
        <v>28</v>
      </c>
      <c r="P9" s="54"/>
      <c r="Q9" s="54"/>
      <c r="R9" s="13" t="s">
        <v>103</v>
      </c>
      <c r="S9" s="19" t="s">
        <v>399</v>
      </c>
      <c r="T9" s="19" t="s">
        <v>399</v>
      </c>
      <c r="U9" s="88" t="s">
        <v>265</v>
      </c>
      <c r="V9" s="33" t="s">
        <v>114</v>
      </c>
      <c r="W9" s="19" t="s">
        <v>114</v>
      </c>
      <c r="X9" s="19">
        <v>2017</v>
      </c>
      <c r="Y9" s="13" t="s">
        <v>7</v>
      </c>
      <c r="Z9" s="19"/>
      <c r="AA9" s="19"/>
    </row>
    <row r="10" spans="1:31" s="23" customFormat="1" ht="49.5" customHeight="1" x14ac:dyDescent="0.3">
      <c r="A10" s="19"/>
      <c r="B10" s="19" t="s">
        <v>582</v>
      </c>
      <c r="C10" s="19" t="s">
        <v>28</v>
      </c>
      <c r="D10" s="13" t="s">
        <v>399</v>
      </c>
      <c r="E10" s="19" t="s">
        <v>228</v>
      </c>
      <c r="F10" s="13" t="s">
        <v>219</v>
      </c>
      <c r="G10" s="13" t="s">
        <v>231</v>
      </c>
      <c r="H10" s="13" t="s">
        <v>219</v>
      </c>
      <c r="I10" s="13" t="s">
        <v>21</v>
      </c>
      <c r="J10" s="19" t="s">
        <v>114</v>
      </c>
      <c r="K10" s="21" t="s">
        <v>114</v>
      </c>
      <c r="L10" s="21"/>
      <c r="M10" s="21" t="s">
        <v>114</v>
      </c>
      <c r="N10" s="21" t="s">
        <v>114</v>
      </c>
      <c r="O10" s="13" t="s">
        <v>28</v>
      </c>
      <c r="P10" s="54"/>
      <c r="Q10" s="54"/>
      <c r="R10" s="13" t="s">
        <v>103</v>
      </c>
      <c r="S10" s="19" t="s">
        <v>399</v>
      </c>
      <c r="T10" s="19" t="s">
        <v>399</v>
      </c>
      <c r="U10" s="88" t="s">
        <v>267</v>
      </c>
      <c r="V10" s="33" t="s">
        <v>114</v>
      </c>
      <c r="W10" s="19" t="s">
        <v>114</v>
      </c>
      <c r="X10" s="19">
        <v>2017</v>
      </c>
      <c r="Y10" s="13" t="s">
        <v>237</v>
      </c>
      <c r="Z10" s="19"/>
      <c r="AA10" s="19"/>
    </row>
    <row r="11" spans="1:31" x14ac:dyDescent="0.3">
      <c r="K11" s="14"/>
      <c r="L11" s="14"/>
    </row>
    <row r="12" spans="1:31" x14ac:dyDescent="0.3">
      <c r="AD12" s="29"/>
    </row>
  </sheetData>
  <autoFilter ref="C1:W10" xr:uid="{2D01CD7A-AC62-4A24-AA5A-FFC337435054}"/>
  <pageMargins left="0.7" right="0.7" top="0.75" bottom="0.75" header="0.3" footer="0.3"/>
  <pageSetup orientation="portrait" r:id="rId1"/>
  <customProperties>
    <customPr name="LastActive" r:id="rId2"/>
  </customPropertie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5"/>
  <sheetViews>
    <sheetView zoomScaleNormal="100" workbookViewId="0">
      <selection activeCell="I1" sqref="I1"/>
    </sheetView>
  </sheetViews>
  <sheetFormatPr defaultRowHeight="14.4" x14ac:dyDescent="0.3"/>
  <cols>
    <col min="1" max="1" width="28" bestFit="1" customWidth="1"/>
    <col min="2" max="2" width="15.88671875" bestFit="1" customWidth="1"/>
    <col min="3" max="7" width="9" bestFit="1" customWidth="1"/>
    <col min="9" max="9" width="13.109375" bestFit="1" customWidth="1"/>
    <col min="10" max="10" width="26.109375" style="29" bestFit="1" customWidth="1"/>
  </cols>
  <sheetData>
    <row r="1" spans="1:11" x14ac:dyDescent="0.3">
      <c r="I1" s="34" t="s">
        <v>411</v>
      </c>
      <c r="J1" s="29" t="s">
        <v>349</v>
      </c>
    </row>
    <row r="3" spans="1:11" x14ac:dyDescent="0.3">
      <c r="I3" s="34" t="s">
        <v>4</v>
      </c>
      <c r="J3" s="29" t="s">
        <v>435</v>
      </c>
    </row>
    <row r="4" spans="1:11" s="4" customFormat="1" ht="57.6" x14ac:dyDescent="0.3">
      <c r="A4" s="4" t="s">
        <v>279</v>
      </c>
      <c r="B4" s="35" t="s">
        <v>246</v>
      </c>
      <c r="C4" s="35" t="s">
        <v>280</v>
      </c>
      <c r="D4" s="35" t="s">
        <v>281</v>
      </c>
      <c r="E4" s="35" t="s">
        <v>282</v>
      </c>
      <c r="F4" s="35" t="s">
        <v>750</v>
      </c>
      <c r="I4" s="20" t="s">
        <v>793</v>
      </c>
      <c r="J4" s="29">
        <v>2529.030740242415</v>
      </c>
      <c r="K4"/>
    </row>
    <row r="5" spans="1:11" x14ac:dyDescent="0.3">
      <c r="A5" s="26">
        <v>2012</v>
      </c>
      <c r="B5" s="43">
        <f>SUM(J4:J6)+GETPIVOTDATA("TNReduction(lbs/yr)",$I$3,"EstimatedCompletionDate","N/A")+GETPIVOTDATA("TNReduction(lbs/yr)",$I$3,"EstimatedCompletionDate","Prior to 2012")</f>
        <v>557373.56579809368</v>
      </c>
      <c r="C5" s="57"/>
      <c r="D5" s="57"/>
      <c r="E5" s="57"/>
      <c r="F5" s="57"/>
      <c r="I5" s="20" t="s">
        <v>760</v>
      </c>
      <c r="J5" s="29">
        <v>0</v>
      </c>
    </row>
    <row r="6" spans="1:11" x14ac:dyDescent="0.3">
      <c r="A6" s="26">
        <v>2013</v>
      </c>
      <c r="B6" s="43">
        <f>B5+GETPIVOTDATA("TNReduction(lbs/yr)",$I$3,"EstimatedCompletionDate","2013")</f>
        <v>577874.06065717177</v>
      </c>
      <c r="C6" s="57"/>
      <c r="D6" s="57"/>
      <c r="E6" s="57"/>
      <c r="F6" s="57"/>
      <c r="I6" s="20" t="s">
        <v>757</v>
      </c>
      <c r="J6" s="29">
        <v>23885.27265467299</v>
      </c>
    </row>
    <row r="7" spans="1:11" x14ac:dyDescent="0.3">
      <c r="A7" s="26">
        <v>2014</v>
      </c>
      <c r="B7" s="43">
        <f>B6+GETPIVOTDATA("TNReduction(lbs/yr)",$I$3,"EstimatedCompletionDate","2014")</f>
        <v>579342.74960817816</v>
      </c>
      <c r="C7" s="57"/>
      <c r="D7" s="57"/>
      <c r="E7" s="57"/>
      <c r="F7" s="57"/>
      <c r="I7" s="20" t="s">
        <v>873</v>
      </c>
      <c r="J7" s="29">
        <v>20500.494859078139</v>
      </c>
    </row>
    <row r="8" spans="1:11" x14ac:dyDescent="0.3">
      <c r="A8" s="26">
        <v>2015</v>
      </c>
      <c r="B8" s="43">
        <f>B7+GETPIVOTDATA("TNReduction(lbs/yr)",$I$3,"EstimatedCompletionDate","2015")</f>
        <v>655081.51548845263</v>
      </c>
      <c r="C8" s="57"/>
      <c r="D8" s="57"/>
      <c r="E8" s="57"/>
      <c r="F8" s="57"/>
      <c r="I8" s="20" t="s">
        <v>963</v>
      </c>
      <c r="J8" s="29">
        <v>1468.6889510063734</v>
      </c>
    </row>
    <row r="9" spans="1:11" x14ac:dyDescent="0.3">
      <c r="A9" s="26">
        <v>2016</v>
      </c>
      <c r="B9" s="43">
        <f>B8+GETPIVOTDATA("TNReduction(lbs/yr)",$I$3,"EstimatedCompletionDate","2016")</f>
        <v>671266.72475065175</v>
      </c>
      <c r="C9" s="57"/>
      <c r="D9" s="57"/>
      <c r="E9" s="57"/>
      <c r="F9" s="57"/>
      <c r="I9" s="20" t="s">
        <v>951</v>
      </c>
      <c r="J9" s="29">
        <v>75738.765880274485</v>
      </c>
    </row>
    <row r="10" spans="1:11" x14ac:dyDescent="0.3">
      <c r="A10" s="26">
        <v>2017</v>
      </c>
      <c r="B10" s="43">
        <f>B9+GETPIVOTDATA("TNReduction(lbs/yr)",$I$3,"EstimatedCompletionDate","2017")</f>
        <v>678872.63556350255</v>
      </c>
      <c r="C10" s="43">
        <v>455338</v>
      </c>
      <c r="D10" s="57"/>
      <c r="E10" s="57"/>
      <c r="F10" s="57"/>
      <c r="I10" s="20" t="s">
        <v>955</v>
      </c>
      <c r="J10" s="29">
        <v>16185.209262199154</v>
      </c>
    </row>
    <row r="11" spans="1:11" x14ac:dyDescent="0.3">
      <c r="A11" s="31">
        <v>2018</v>
      </c>
      <c r="B11" s="43">
        <f>B10+GETPIVOTDATA("TNReduction(lbs/yr)",$I$3,"EstimatedCompletionDate","2018")</f>
        <v>690823.77571321232</v>
      </c>
      <c r="C11" s="57"/>
      <c r="D11" s="57"/>
      <c r="E11" s="57"/>
      <c r="F11" s="57"/>
      <c r="I11" s="20" t="s">
        <v>794</v>
      </c>
      <c r="J11" s="29">
        <v>7605.9108128508515</v>
      </c>
    </row>
    <row r="12" spans="1:11" x14ac:dyDescent="0.3">
      <c r="A12" s="26">
        <v>2019</v>
      </c>
      <c r="B12" s="43">
        <f>B11+GETPIVOTDATA("TNReduction(lbs/yr)",$I$3,"EstimatedCompletionDate","2019")</f>
        <v>707911.23658826272</v>
      </c>
      <c r="C12" s="57"/>
      <c r="D12" s="57"/>
      <c r="E12" s="57"/>
      <c r="F12" s="57"/>
      <c r="I12" s="20" t="s">
        <v>860</v>
      </c>
      <c r="J12" s="29">
        <v>11951.140149709729</v>
      </c>
    </row>
    <row r="13" spans="1:11" x14ac:dyDescent="0.3">
      <c r="A13" s="26">
        <v>2020</v>
      </c>
      <c r="B13" s="43">
        <f>B12+GETPIVOTDATA("TNReduction(lbs/yr)",$I$3,"EstimatedCompletionDate","2020")</f>
        <v>708110.25644702022</v>
      </c>
      <c r="C13" s="57"/>
      <c r="D13" s="57"/>
      <c r="E13" s="57"/>
      <c r="F13" s="57"/>
      <c r="I13" s="20" t="s">
        <v>949</v>
      </c>
      <c r="J13" s="29">
        <v>17087.460875050376</v>
      </c>
    </row>
    <row r="14" spans="1:11" x14ac:dyDescent="0.3">
      <c r="A14" s="26">
        <v>2021</v>
      </c>
      <c r="B14" s="43"/>
      <c r="C14" s="57"/>
      <c r="D14" s="57"/>
      <c r="E14" s="57"/>
      <c r="F14" s="57"/>
      <c r="I14" s="20" t="s">
        <v>798</v>
      </c>
      <c r="J14" s="29">
        <v>199.01985875744825</v>
      </c>
    </row>
    <row r="15" spans="1:11" x14ac:dyDescent="0.3">
      <c r="A15" s="26">
        <v>2022</v>
      </c>
      <c r="B15" s="43"/>
      <c r="C15" s="57"/>
      <c r="D15" s="43">
        <v>683007</v>
      </c>
      <c r="E15" s="57"/>
      <c r="F15" s="57"/>
      <c r="I15" s="20" t="s">
        <v>178</v>
      </c>
      <c r="J15" s="29">
        <v>458925.16407773312</v>
      </c>
    </row>
    <row r="16" spans="1:11" x14ac:dyDescent="0.3">
      <c r="A16" s="26">
        <v>2023</v>
      </c>
      <c r="B16" s="43"/>
      <c r="C16" s="57"/>
      <c r="D16" s="57"/>
      <c r="E16" s="57"/>
      <c r="F16" s="57"/>
      <c r="I16" s="20" t="s">
        <v>76</v>
      </c>
      <c r="J16" s="29">
        <v>72034.098325445113</v>
      </c>
    </row>
    <row r="17" spans="1:10" x14ac:dyDescent="0.3">
      <c r="A17" s="26">
        <v>2024</v>
      </c>
      <c r="B17" s="43"/>
      <c r="C17" s="57"/>
      <c r="D17" s="57"/>
      <c r="E17" s="57"/>
      <c r="F17" s="57"/>
      <c r="I17" s="20" t="s">
        <v>5</v>
      </c>
      <c r="J17" s="29">
        <v>708110.2564470201</v>
      </c>
    </row>
    <row r="18" spans="1:10" x14ac:dyDescent="0.3">
      <c r="A18" s="26">
        <v>2025</v>
      </c>
      <c r="B18" s="43"/>
      <c r="C18" s="57"/>
      <c r="D18" s="57"/>
      <c r="E18" s="57"/>
      <c r="F18" s="57"/>
      <c r="J18"/>
    </row>
    <row r="19" spans="1:10" x14ac:dyDescent="0.3">
      <c r="A19" s="26">
        <v>2026</v>
      </c>
      <c r="B19" s="43"/>
      <c r="C19" s="57"/>
      <c r="D19" s="57"/>
      <c r="E19" s="57"/>
      <c r="F19" s="57"/>
    </row>
    <row r="20" spans="1:10" x14ac:dyDescent="0.3">
      <c r="A20" s="26">
        <v>2027</v>
      </c>
      <c r="B20" s="43"/>
      <c r="C20" s="57"/>
      <c r="D20" s="57"/>
      <c r="E20" s="43">
        <v>865142</v>
      </c>
      <c r="F20" s="57"/>
    </row>
    <row r="21" spans="1:10" x14ac:dyDescent="0.3">
      <c r="A21" s="26">
        <v>2028</v>
      </c>
      <c r="B21" s="43"/>
      <c r="C21" s="57"/>
      <c r="D21" s="57"/>
      <c r="E21" s="57"/>
      <c r="F21" s="57"/>
    </row>
    <row r="22" spans="1:10" x14ac:dyDescent="0.3">
      <c r="A22" s="26">
        <v>2029</v>
      </c>
      <c r="B22" s="43"/>
      <c r="C22" s="57"/>
      <c r="D22" s="57"/>
      <c r="E22" s="57"/>
      <c r="F22" s="57"/>
    </row>
    <row r="23" spans="1:10" x14ac:dyDescent="0.3">
      <c r="A23" s="26">
        <v>2030</v>
      </c>
      <c r="B23" s="43"/>
      <c r="C23" s="57"/>
      <c r="D23" s="57"/>
      <c r="E23" s="57"/>
      <c r="F23" s="57"/>
    </row>
    <row r="24" spans="1:10" x14ac:dyDescent="0.3">
      <c r="A24" s="26">
        <v>2031</v>
      </c>
      <c r="B24" s="43"/>
      <c r="C24" s="57"/>
      <c r="D24" s="57"/>
      <c r="E24" s="57"/>
      <c r="F24" s="57"/>
    </row>
    <row r="25" spans="1:10" x14ac:dyDescent="0.3">
      <c r="A25" s="26">
        <v>2032</v>
      </c>
      <c r="B25" s="43"/>
      <c r="C25" s="57"/>
      <c r="D25" s="57"/>
      <c r="E25" s="57"/>
      <c r="F25" s="43">
        <v>910676</v>
      </c>
    </row>
  </sheetData>
  <pageMargins left="0.7" right="0.7" top="0.75" bottom="0.75" header="0.3" footer="0.3"/>
  <pageSetup orientation="portrait" r:id="rId2"/>
  <customProperties>
    <customPr name="LastActive" r:id="rId3"/>
  </customProperties>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9ADB2-E634-4FCF-8EDF-33754433A6BA}">
  <dimension ref="A1:N256"/>
  <sheetViews>
    <sheetView workbookViewId="0">
      <selection activeCell="E11" sqref="E11"/>
    </sheetView>
  </sheetViews>
  <sheetFormatPr defaultRowHeight="14.4" x14ac:dyDescent="0.3"/>
  <cols>
    <col min="1" max="1" width="19.5546875" style="103" customWidth="1"/>
    <col min="2" max="2" width="23.5546875" bestFit="1" customWidth="1"/>
    <col min="4" max="4" width="54" customWidth="1"/>
    <col min="5" max="5" width="28.6640625" customWidth="1"/>
    <col min="11" max="11" width="13.109375" bestFit="1" customWidth="1"/>
    <col min="14" max="14" width="14.5546875" bestFit="1" customWidth="1"/>
  </cols>
  <sheetData>
    <row r="1" spans="1:14" ht="58.2" thickBot="1" x14ac:dyDescent="0.35">
      <c r="A1" s="104" t="s">
        <v>410</v>
      </c>
      <c r="B1" s="44" t="s">
        <v>441</v>
      </c>
      <c r="D1" s="42" t="s">
        <v>6</v>
      </c>
      <c r="E1" s="42" t="s">
        <v>441</v>
      </c>
      <c r="H1" s="56" t="s">
        <v>747</v>
      </c>
      <c r="K1" t="s">
        <v>749</v>
      </c>
      <c r="N1" t="s">
        <v>748</v>
      </c>
    </row>
    <row r="2" spans="1:14" ht="15.6" x14ac:dyDescent="0.3">
      <c r="A2" s="54" t="s">
        <v>12</v>
      </c>
      <c r="B2" t="str">
        <f>VLOOKUP(A2,$D$2:$E$93,2,FALSE)</f>
        <v>Non-structural</v>
      </c>
      <c r="D2" s="82" t="s">
        <v>442</v>
      </c>
      <c r="E2" s="82" t="s">
        <v>443</v>
      </c>
      <c r="H2">
        <f>MIN('Caloosahatchee All Projects'!B2:B225)</f>
        <v>2238</v>
      </c>
      <c r="K2" s="45">
        <v>744149</v>
      </c>
      <c r="N2" s="45">
        <v>208</v>
      </c>
    </row>
    <row r="3" spans="1:14" ht="15.6" x14ac:dyDescent="0.3">
      <c r="A3" s="54" t="s">
        <v>444</v>
      </c>
      <c r="B3" t="str">
        <f t="shared" ref="B3:B34" si="0">VLOOKUP(A3,$D$2:$E$93,2,FALSE)</f>
        <v>Use Past Designation</v>
      </c>
      <c r="D3" s="82" t="s">
        <v>444</v>
      </c>
      <c r="E3" s="82" t="s">
        <v>445</v>
      </c>
      <c r="H3">
        <f>MAX('Caloosahatchee All Projects'!B2:B225)</f>
        <v>5749</v>
      </c>
    </row>
    <row r="4" spans="1:14" ht="15.6" x14ac:dyDescent="0.3">
      <c r="A4" s="54" t="s">
        <v>107</v>
      </c>
      <c r="B4" t="str">
        <f t="shared" si="0"/>
        <v>Non-structural</v>
      </c>
      <c r="D4" s="82" t="s">
        <v>219</v>
      </c>
      <c r="E4" s="82" t="s">
        <v>446</v>
      </c>
    </row>
    <row r="5" spans="1:14" ht="15.6" x14ac:dyDescent="0.3">
      <c r="A5" s="54" t="s">
        <v>492</v>
      </c>
      <c r="B5" t="str">
        <f t="shared" si="0"/>
        <v>Structural</v>
      </c>
      <c r="D5" s="82" t="s">
        <v>782</v>
      </c>
      <c r="E5" s="82" t="s">
        <v>443</v>
      </c>
    </row>
    <row r="6" spans="1:14" ht="15.6" x14ac:dyDescent="0.3">
      <c r="A6" s="54" t="s">
        <v>106</v>
      </c>
      <c r="B6" t="str">
        <f t="shared" si="0"/>
        <v>Structural</v>
      </c>
      <c r="D6" s="82" t="s">
        <v>447</v>
      </c>
      <c r="E6" s="82" t="s">
        <v>443</v>
      </c>
    </row>
    <row r="7" spans="1:14" ht="15.6" x14ac:dyDescent="0.3">
      <c r="A7" s="54" t="s">
        <v>116</v>
      </c>
      <c r="B7" t="str">
        <f t="shared" si="0"/>
        <v>Structural</v>
      </c>
      <c r="D7" s="82" t="s">
        <v>448</v>
      </c>
      <c r="E7" s="82" t="s">
        <v>443</v>
      </c>
    </row>
    <row r="8" spans="1:14" ht="15.6" x14ac:dyDescent="0.3">
      <c r="A8" s="54" t="s">
        <v>332</v>
      </c>
      <c r="B8" t="str">
        <f t="shared" si="0"/>
        <v>Non-structural</v>
      </c>
      <c r="D8" s="82" t="s">
        <v>449</v>
      </c>
      <c r="E8" s="82" t="s">
        <v>443</v>
      </c>
    </row>
    <row r="9" spans="1:14" ht="26.4" x14ac:dyDescent="0.3">
      <c r="A9" s="110" t="s">
        <v>784</v>
      </c>
      <c r="B9" t="str">
        <f t="shared" si="0"/>
        <v>Structural</v>
      </c>
      <c r="D9" s="82" t="s">
        <v>450</v>
      </c>
      <c r="E9" s="82" t="s">
        <v>443</v>
      </c>
    </row>
    <row r="10" spans="1:14" ht="26.4" x14ac:dyDescent="0.3">
      <c r="A10" s="54" t="s">
        <v>460</v>
      </c>
      <c r="B10" t="str">
        <f t="shared" si="0"/>
        <v>Structural</v>
      </c>
      <c r="D10" s="82" t="s">
        <v>451</v>
      </c>
      <c r="E10" s="82" t="s">
        <v>446</v>
      </c>
    </row>
    <row r="11" spans="1:14" ht="39.6" x14ac:dyDescent="0.3">
      <c r="A11" s="54" t="s">
        <v>239</v>
      </c>
      <c r="B11" t="str">
        <f t="shared" si="0"/>
        <v>Structural</v>
      </c>
      <c r="D11" s="82" t="s">
        <v>783</v>
      </c>
      <c r="E11" s="82" t="s">
        <v>445</v>
      </c>
    </row>
    <row r="12" spans="1:14" ht="26.4" x14ac:dyDescent="0.3">
      <c r="A12" s="54" t="s">
        <v>240</v>
      </c>
      <c r="B12" t="str">
        <f t="shared" si="0"/>
        <v>Structural</v>
      </c>
      <c r="D12" s="82" t="s">
        <v>283</v>
      </c>
      <c r="E12" s="82" t="s">
        <v>443</v>
      </c>
    </row>
    <row r="13" spans="1:14" ht="15.6" x14ac:dyDescent="0.3">
      <c r="A13" s="54" t="s">
        <v>128</v>
      </c>
      <c r="B13" t="str">
        <f t="shared" si="0"/>
        <v>Structural</v>
      </c>
      <c r="D13" s="82" t="s">
        <v>452</v>
      </c>
      <c r="E13" s="82" t="s">
        <v>446</v>
      </c>
    </row>
    <row r="14" spans="1:14" ht="15.6" x14ac:dyDescent="0.3">
      <c r="A14" s="54" t="s">
        <v>3</v>
      </c>
      <c r="B14" t="str">
        <f t="shared" si="0"/>
        <v>Non-structural</v>
      </c>
      <c r="D14" s="82" t="s">
        <v>784</v>
      </c>
      <c r="E14" s="82" t="s">
        <v>443</v>
      </c>
    </row>
    <row r="15" spans="1:14" ht="15.6" x14ac:dyDescent="0.3">
      <c r="A15" s="54" t="s">
        <v>486</v>
      </c>
      <c r="B15" t="str">
        <f t="shared" si="0"/>
        <v>Structural</v>
      </c>
      <c r="D15" s="82" t="s">
        <v>106</v>
      </c>
      <c r="E15" s="82" t="s">
        <v>443</v>
      </c>
    </row>
    <row r="16" spans="1:14" ht="39.6" x14ac:dyDescent="0.3">
      <c r="A16" s="90" t="s">
        <v>452</v>
      </c>
      <c r="B16" t="str">
        <f t="shared" si="0"/>
        <v>Non-structural</v>
      </c>
      <c r="D16" s="82" t="s">
        <v>453</v>
      </c>
      <c r="E16" s="82" t="s">
        <v>443</v>
      </c>
    </row>
    <row r="17" spans="1:5" ht="26.4" x14ac:dyDescent="0.3">
      <c r="A17" s="54" t="s">
        <v>448</v>
      </c>
      <c r="B17" t="str">
        <f t="shared" si="0"/>
        <v>Structural</v>
      </c>
      <c r="D17" s="82" t="s">
        <v>454</v>
      </c>
      <c r="E17" s="82" t="s">
        <v>443</v>
      </c>
    </row>
    <row r="18" spans="1:5" ht="26.4" x14ac:dyDescent="0.3">
      <c r="A18" s="54" t="s">
        <v>209</v>
      </c>
      <c r="B18" t="str">
        <f t="shared" si="0"/>
        <v>Structural</v>
      </c>
      <c r="D18" s="82" t="s">
        <v>455</v>
      </c>
      <c r="E18" s="82" t="s">
        <v>456</v>
      </c>
    </row>
    <row r="19" spans="1:5" ht="26.4" x14ac:dyDescent="0.3">
      <c r="A19" s="54" t="s">
        <v>219</v>
      </c>
      <c r="B19" t="str">
        <f t="shared" si="0"/>
        <v>Non-structural</v>
      </c>
      <c r="D19" s="82" t="s">
        <v>457</v>
      </c>
      <c r="E19" s="82" t="s">
        <v>443</v>
      </c>
    </row>
    <row r="20" spans="1:5" ht="39.6" x14ac:dyDescent="0.3">
      <c r="A20" s="54" t="s">
        <v>480</v>
      </c>
      <c r="B20" t="str">
        <f t="shared" si="0"/>
        <v>Non-structural</v>
      </c>
      <c r="D20" s="82" t="s">
        <v>458</v>
      </c>
      <c r="E20" s="82" t="s">
        <v>443</v>
      </c>
    </row>
    <row r="21" spans="1:5" ht="15.6" x14ac:dyDescent="0.3">
      <c r="A21" s="59" t="s">
        <v>333</v>
      </c>
      <c r="B21" t="str">
        <f t="shared" si="0"/>
        <v>Structural</v>
      </c>
      <c r="D21" s="82" t="s">
        <v>459</v>
      </c>
      <c r="E21" s="82" t="s">
        <v>443</v>
      </c>
    </row>
    <row r="22" spans="1:5" ht="15.6" x14ac:dyDescent="0.3">
      <c r="A22" s="59" t="s">
        <v>108</v>
      </c>
      <c r="B22" t="str">
        <f t="shared" si="0"/>
        <v>Structural</v>
      </c>
      <c r="D22" s="82" t="s">
        <v>460</v>
      </c>
      <c r="E22" s="82" t="s">
        <v>443</v>
      </c>
    </row>
    <row r="23" spans="1:5" ht="26.4" x14ac:dyDescent="0.3">
      <c r="A23" s="59" t="s">
        <v>431</v>
      </c>
      <c r="B23" t="str">
        <f t="shared" si="0"/>
        <v>Structural</v>
      </c>
      <c r="D23" s="82" t="s">
        <v>333</v>
      </c>
      <c r="E23" s="82" t="s">
        <v>443</v>
      </c>
    </row>
    <row r="24" spans="1:5" ht="52.8" x14ac:dyDescent="0.3">
      <c r="A24" s="110" t="s">
        <v>488</v>
      </c>
      <c r="B24" t="str">
        <f t="shared" si="0"/>
        <v>Structural</v>
      </c>
      <c r="D24" s="82" t="s">
        <v>12</v>
      </c>
      <c r="E24" s="82" t="s">
        <v>446</v>
      </c>
    </row>
    <row r="25" spans="1:5" ht="15.6" x14ac:dyDescent="0.3">
      <c r="A25" s="59" t="s">
        <v>498</v>
      </c>
      <c r="B25" t="str">
        <f t="shared" si="0"/>
        <v>Structural</v>
      </c>
      <c r="D25" s="82" t="s">
        <v>461</v>
      </c>
      <c r="E25" s="82" t="s">
        <v>446</v>
      </c>
    </row>
    <row r="26" spans="1:5" ht="39.6" x14ac:dyDescent="0.3">
      <c r="A26" s="54" t="s">
        <v>241</v>
      </c>
      <c r="B26" t="str">
        <f t="shared" si="0"/>
        <v>Structural</v>
      </c>
      <c r="D26" s="82" t="s">
        <v>110</v>
      </c>
      <c r="E26" s="82" t="s">
        <v>443</v>
      </c>
    </row>
    <row r="27" spans="1:5" ht="26.4" x14ac:dyDescent="0.3">
      <c r="A27" s="54" t="s">
        <v>233</v>
      </c>
      <c r="B27" t="str">
        <f t="shared" si="0"/>
        <v>Structural</v>
      </c>
      <c r="D27" s="82" t="s">
        <v>462</v>
      </c>
      <c r="E27" s="82" t="s">
        <v>446</v>
      </c>
    </row>
    <row r="28" spans="1:5" ht="15.6" x14ac:dyDescent="0.3">
      <c r="A28" s="54" t="s">
        <v>110</v>
      </c>
      <c r="B28" t="str">
        <f t="shared" si="0"/>
        <v>Structural</v>
      </c>
      <c r="D28" s="82" t="s">
        <v>107</v>
      </c>
      <c r="E28" s="82" t="s">
        <v>446</v>
      </c>
    </row>
    <row r="29" spans="1:5" ht="26.4" x14ac:dyDescent="0.3">
      <c r="A29" s="101" t="s">
        <v>403</v>
      </c>
      <c r="B29" t="str">
        <f t="shared" si="0"/>
        <v>Structural</v>
      </c>
      <c r="D29" s="82" t="s">
        <v>463</v>
      </c>
      <c r="E29" s="82" t="s">
        <v>446</v>
      </c>
    </row>
    <row r="30" spans="1:5" ht="26.4" x14ac:dyDescent="0.3">
      <c r="A30" s="93" t="s">
        <v>484</v>
      </c>
      <c r="B30" t="str">
        <f t="shared" si="0"/>
        <v>Structural</v>
      </c>
      <c r="D30" s="82" t="s">
        <v>464</v>
      </c>
      <c r="E30" s="82" t="s">
        <v>446</v>
      </c>
    </row>
    <row r="31" spans="1:5" ht="15.6" x14ac:dyDescent="0.3">
      <c r="A31" s="93" t="s">
        <v>283</v>
      </c>
      <c r="B31" t="str">
        <f t="shared" si="0"/>
        <v>Structural</v>
      </c>
      <c r="D31" s="82" t="s">
        <v>465</v>
      </c>
      <c r="E31" s="82" t="s">
        <v>443</v>
      </c>
    </row>
    <row r="32" spans="1:5" ht="15.6" x14ac:dyDescent="0.3">
      <c r="A32" s="93" t="s">
        <v>473</v>
      </c>
      <c r="B32" t="str">
        <f t="shared" si="0"/>
        <v>Non-structural</v>
      </c>
      <c r="D32" s="82" t="s">
        <v>466</v>
      </c>
      <c r="E32" s="82" t="s">
        <v>446</v>
      </c>
    </row>
    <row r="33" spans="1:5" ht="26.4" x14ac:dyDescent="0.3">
      <c r="A33" s="148" t="s">
        <v>236</v>
      </c>
      <c r="B33" t="str">
        <f t="shared" si="0"/>
        <v>Structural</v>
      </c>
      <c r="D33" s="82" t="s">
        <v>467</v>
      </c>
      <c r="E33" s="82" t="s">
        <v>443</v>
      </c>
    </row>
    <row r="34" spans="1:5" ht="26.4" x14ac:dyDescent="0.3">
      <c r="A34" s="54" t="s">
        <v>493</v>
      </c>
      <c r="B34" t="str">
        <f t="shared" si="0"/>
        <v>Structural</v>
      </c>
      <c r="D34" s="82" t="s">
        <v>468</v>
      </c>
      <c r="E34" s="82" t="s">
        <v>443</v>
      </c>
    </row>
    <row r="35" spans="1:5" ht="15.6" x14ac:dyDescent="0.3">
      <c r="A35" s="54"/>
      <c r="D35" s="82" t="s">
        <v>469</v>
      </c>
      <c r="E35" s="82" t="s">
        <v>443</v>
      </c>
    </row>
    <row r="36" spans="1:5" ht="15.6" x14ac:dyDescent="0.3">
      <c r="A36"/>
      <c r="D36" s="82" t="s">
        <v>403</v>
      </c>
      <c r="E36" s="82" t="s">
        <v>443</v>
      </c>
    </row>
    <row r="37" spans="1:5" ht="15.6" x14ac:dyDescent="0.3">
      <c r="A37"/>
      <c r="D37" s="82" t="s">
        <v>116</v>
      </c>
      <c r="E37" s="82" t="s">
        <v>443</v>
      </c>
    </row>
    <row r="38" spans="1:5" ht="15.6" x14ac:dyDescent="0.3">
      <c r="A38"/>
      <c r="D38" s="82" t="s">
        <v>470</v>
      </c>
      <c r="E38" s="82" t="s">
        <v>443</v>
      </c>
    </row>
    <row r="39" spans="1:5" ht="15.6" x14ac:dyDescent="0.3">
      <c r="A39"/>
      <c r="D39" s="82" t="s">
        <v>940</v>
      </c>
      <c r="E39" s="82" t="s">
        <v>443</v>
      </c>
    </row>
    <row r="40" spans="1:5" ht="15.6" x14ac:dyDescent="0.3">
      <c r="A40"/>
      <c r="D40" s="82" t="s">
        <v>941</v>
      </c>
      <c r="E40" s="82" t="s">
        <v>446</v>
      </c>
    </row>
    <row r="41" spans="1:5" ht="15.6" x14ac:dyDescent="0.3">
      <c r="A41"/>
      <c r="D41" s="82" t="s">
        <v>471</v>
      </c>
      <c r="E41" s="82" t="s">
        <v>443</v>
      </c>
    </row>
    <row r="42" spans="1:5" ht="15.6" x14ac:dyDescent="0.3">
      <c r="A42"/>
      <c r="D42" s="82" t="s">
        <v>109</v>
      </c>
      <c r="E42" s="82" t="s">
        <v>446</v>
      </c>
    </row>
    <row r="43" spans="1:5" ht="15.6" x14ac:dyDescent="0.3">
      <c r="A43"/>
      <c r="D43" s="82" t="s">
        <v>472</v>
      </c>
      <c r="E43" s="82" t="s">
        <v>446</v>
      </c>
    </row>
    <row r="44" spans="1:5" ht="15.6" x14ac:dyDescent="0.3">
      <c r="A44"/>
      <c r="D44" s="82" t="s">
        <v>473</v>
      </c>
      <c r="E44" s="82" t="s">
        <v>446</v>
      </c>
    </row>
    <row r="45" spans="1:5" ht="15.6" x14ac:dyDescent="0.3">
      <c r="A45"/>
      <c r="D45" s="82" t="s">
        <v>474</v>
      </c>
      <c r="E45" s="82" t="s">
        <v>443</v>
      </c>
    </row>
    <row r="46" spans="1:5" ht="15.6" x14ac:dyDescent="0.3">
      <c r="A46"/>
      <c r="D46" s="82" t="s">
        <v>475</v>
      </c>
      <c r="E46" s="82" t="s">
        <v>443</v>
      </c>
    </row>
    <row r="47" spans="1:5" ht="15.6" x14ac:dyDescent="0.3">
      <c r="A47"/>
      <c r="D47" s="82" t="s">
        <v>476</v>
      </c>
      <c r="E47" s="82" t="s">
        <v>443</v>
      </c>
    </row>
    <row r="48" spans="1:5" ht="15.6" x14ac:dyDescent="0.3">
      <c r="A48"/>
      <c r="D48" s="82" t="s">
        <v>477</v>
      </c>
      <c r="E48" s="82" t="s">
        <v>443</v>
      </c>
    </row>
    <row r="49" spans="1:5" ht="15.6" x14ac:dyDescent="0.3">
      <c r="A49"/>
      <c r="D49" s="82" t="s">
        <v>478</v>
      </c>
      <c r="E49" s="82" t="s">
        <v>446</v>
      </c>
    </row>
    <row r="50" spans="1:5" ht="15.6" x14ac:dyDescent="0.3">
      <c r="A50"/>
      <c r="D50" s="82" t="s">
        <v>479</v>
      </c>
      <c r="E50" s="82" t="s">
        <v>446</v>
      </c>
    </row>
    <row r="51" spans="1:5" ht="15.6" x14ac:dyDescent="0.3">
      <c r="A51"/>
      <c r="D51" s="82" t="s">
        <v>480</v>
      </c>
      <c r="E51" s="82" t="s">
        <v>446</v>
      </c>
    </row>
    <row r="52" spans="1:5" ht="15.6" x14ac:dyDescent="0.3">
      <c r="A52"/>
      <c r="D52" s="82" t="s">
        <v>481</v>
      </c>
      <c r="E52" s="82" t="s">
        <v>446</v>
      </c>
    </row>
    <row r="53" spans="1:5" ht="15.6" x14ac:dyDescent="0.3">
      <c r="A53"/>
      <c r="D53" s="82" t="s">
        <v>482</v>
      </c>
      <c r="E53" s="82" t="s">
        <v>446</v>
      </c>
    </row>
    <row r="54" spans="1:5" ht="15.6" x14ac:dyDescent="0.3">
      <c r="A54"/>
      <c r="D54" s="82" t="s">
        <v>483</v>
      </c>
      <c r="E54" s="82" t="s">
        <v>443</v>
      </c>
    </row>
    <row r="55" spans="1:5" ht="15.6" x14ac:dyDescent="0.3">
      <c r="A55"/>
      <c r="D55" s="82" t="s">
        <v>484</v>
      </c>
      <c r="E55" s="82" t="s">
        <v>443</v>
      </c>
    </row>
    <row r="56" spans="1:5" ht="31.2" x14ac:dyDescent="0.3">
      <c r="A56"/>
      <c r="D56" s="82" t="s">
        <v>485</v>
      </c>
      <c r="E56" s="82" t="s">
        <v>443</v>
      </c>
    </row>
    <row r="57" spans="1:5" ht="15.6" x14ac:dyDescent="0.3">
      <c r="A57"/>
      <c r="D57" s="82" t="s">
        <v>486</v>
      </c>
      <c r="E57" s="82" t="s">
        <v>443</v>
      </c>
    </row>
    <row r="58" spans="1:5" ht="15.6" x14ac:dyDescent="0.3">
      <c r="A58"/>
      <c r="D58" s="82" t="s">
        <v>785</v>
      </c>
      <c r="E58" s="82" t="s">
        <v>443</v>
      </c>
    </row>
    <row r="59" spans="1:5" ht="15.6" x14ac:dyDescent="0.3">
      <c r="A59"/>
      <c r="D59" s="82" t="s">
        <v>487</v>
      </c>
      <c r="E59" s="82" t="s">
        <v>443</v>
      </c>
    </row>
    <row r="60" spans="1:5" ht="15.6" x14ac:dyDescent="0.3">
      <c r="A60"/>
      <c r="D60" s="82" t="s">
        <v>233</v>
      </c>
      <c r="E60" s="82" t="s">
        <v>443</v>
      </c>
    </row>
    <row r="61" spans="1:5" ht="15.6" x14ac:dyDescent="0.3">
      <c r="A61"/>
      <c r="D61" s="82" t="s">
        <v>234</v>
      </c>
      <c r="E61" s="82" t="s">
        <v>446</v>
      </c>
    </row>
    <row r="62" spans="1:5" ht="31.2" x14ac:dyDescent="0.3">
      <c r="A62"/>
      <c r="D62" s="82" t="s">
        <v>488</v>
      </c>
      <c r="E62" s="82" t="s">
        <v>443</v>
      </c>
    </row>
    <row r="63" spans="1:5" ht="15.6" x14ac:dyDescent="0.3">
      <c r="A63"/>
      <c r="D63" s="82" t="s">
        <v>942</v>
      </c>
      <c r="E63" s="82" t="s">
        <v>443</v>
      </c>
    </row>
    <row r="64" spans="1:5" ht="15.6" x14ac:dyDescent="0.3">
      <c r="A64"/>
      <c r="D64" s="82" t="s">
        <v>786</v>
      </c>
      <c r="E64" s="82" t="s">
        <v>443</v>
      </c>
    </row>
    <row r="65" spans="1:5" ht="31.2" x14ac:dyDescent="0.3">
      <c r="A65"/>
      <c r="D65" s="82" t="s">
        <v>489</v>
      </c>
      <c r="E65" s="82" t="s">
        <v>443</v>
      </c>
    </row>
    <row r="66" spans="1:5" ht="15.6" x14ac:dyDescent="0.3">
      <c r="A66"/>
      <c r="D66" s="82" t="s">
        <v>490</v>
      </c>
      <c r="E66" s="82" t="s">
        <v>446</v>
      </c>
    </row>
    <row r="67" spans="1:5" ht="15.6" x14ac:dyDescent="0.3">
      <c r="A67"/>
      <c r="D67" s="82" t="s">
        <v>491</v>
      </c>
      <c r="E67" s="82" t="s">
        <v>443</v>
      </c>
    </row>
    <row r="68" spans="1:5" ht="15.6" x14ac:dyDescent="0.3">
      <c r="A68"/>
      <c r="D68" s="82" t="s">
        <v>492</v>
      </c>
      <c r="E68" s="82" t="s">
        <v>443</v>
      </c>
    </row>
    <row r="69" spans="1:5" ht="15.6" x14ac:dyDescent="0.3">
      <c r="A69"/>
      <c r="D69" s="82" t="s">
        <v>787</v>
      </c>
      <c r="E69" s="82" t="s">
        <v>443</v>
      </c>
    </row>
    <row r="70" spans="1:5" ht="15.6" x14ac:dyDescent="0.3">
      <c r="A70"/>
      <c r="D70" s="82" t="s">
        <v>788</v>
      </c>
      <c r="E70" s="82" t="s">
        <v>446</v>
      </c>
    </row>
    <row r="71" spans="1:5" ht="15.6" x14ac:dyDescent="0.3">
      <c r="A71"/>
      <c r="D71" s="82" t="s">
        <v>789</v>
      </c>
      <c r="E71" s="82" t="s">
        <v>443</v>
      </c>
    </row>
    <row r="72" spans="1:5" ht="15.6" x14ac:dyDescent="0.3">
      <c r="A72"/>
      <c r="D72" s="82" t="s">
        <v>493</v>
      </c>
      <c r="E72" s="82" t="s">
        <v>443</v>
      </c>
    </row>
    <row r="73" spans="1:5" ht="15.6" x14ac:dyDescent="0.3">
      <c r="A73"/>
      <c r="D73" s="82" t="s">
        <v>128</v>
      </c>
      <c r="E73" s="82" t="s">
        <v>443</v>
      </c>
    </row>
    <row r="74" spans="1:5" ht="15.6" x14ac:dyDescent="0.3">
      <c r="A74"/>
      <c r="D74" s="82" t="s">
        <v>240</v>
      </c>
      <c r="E74" s="82" t="s">
        <v>443</v>
      </c>
    </row>
    <row r="75" spans="1:5" ht="15.6" x14ac:dyDescent="0.3">
      <c r="A75"/>
      <c r="D75" s="82" t="s">
        <v>790</v>
      </c>
      <c r="E75" s="82" t="s">
        <v>443</v>
      </c>
    </row>
    <row r="76" spans="1:5" ht="15.6" x14ac:dyDescent="0.3">
      <c r="A76"/>
      <c r="D76" s="82" t="s">
        <v>431</v>
      </c>
      <c r="E76" s="82" t="s">
        <v>443</v>
      </c>
    </row>
    <row r="77" spans="1:5" ht="15.6" x14ac:dyDescent="0.3">
      <c r="A77"/>
      <c r="D77" s="82" t="s">
        <v>3</v>
      </c>
      <c r="E77" s="82" t="s">
        <v>446</v>
      </c>
    </row>
    <row r="78" spans="1:5" ht="15.6" x14ac:dyDescent="0.3">
      <c r="A78"/>
      <c r="D78" s="82" t="s">
        <v>332</v>
      </c>
      <c r="E78" s="82" t="s">
        <v>446</v>
      </c>
    </row>
    <row r="79" spans="1:5" ht="15.6" x14ac:dyDescent="0.3">
      <c r="A79"/>
      <c r="D79" s="82" t="s">
        <v>494</v>
      </c>
      <c r="E79" s="82" t="s">
        <v>446</v>
      </c>
    </row>
    <row r="80" spans="1:5" ht="15.6" x14ac:dyDescent="0.3">
      <c r="A80"/>
      <c r="D80" s="82" t="s">
        <v>495</v>
      </c>
      <c r="E80" s="82" t="s">
        <v>443</v>
      </c>
    </row>
    <row r="81" spans="1:5" ht="15.6" x14ac:dyDescent="0.3">
      <c r="A81"/>
      <c r="D81" s="82" t="s">
        <v>791</v>
      </c>
      <c r="E81" s="82" t="s">
        <v>443</v>
      </c>
    </row>
    <row r="82" spans="1:5" ht="15.6" x14ac:dyDescent="0.3">
      <c r="A82"/>
      <c r="D82" s="82" t="s">
        <v>236</v>
      </c>
      <c r="E82" s="82" t="s">
        <v>443</v>
      </c>
    </row>
    <row r="83" spans="1:5" ht="15.6" x14ac:dyDescent="0.3">
      <c r="A83"/>
      <c r="D83" s="82" t="s">
        <v>108</v>
      </c>
      <c r="E83" s="82" t="s">
        <v>443</v>
      </c>
    </row>
    <row r="84" spans="1:5" ht="15.6" x14ac:dyDescent="0.3">
      <c r="A84"/>
      <c r="D84" s="82" t="s">
        <v>496</v>
      </c>
      <c r="E84" s="82" t="s">
        <v>443</v>
      </c>
    </row>
    <row r="85" spans="1:5" ht="15.6" x14ac:dyDescent="0.3">
      <c r="A85"/>
      <c r="D85" s="82" t="s">
        <v>235</v>
      </c>
      <c r="E85" s="82" t="s">
        <v>443</v>
      </c>
    </row>
    <row r="86" spans="1:5" ht="15.6" x14ac:dyDescent="0.3">
      <c r="A86"/>
      <c r="D86" s="82" t="s">
        <v>209</v>
      </c>
      <c r="E86" s="82" t="s">
        <v>443</v>
      </c>
    </row>
    <row r="87" spans="1:5" ht="15.6" x14ac:dyDescent="0.3">
      <c r="A87"/>
      <c r="D87" s="82" t="s">
        <v>497</v>
      </c>
      <c r="E87" s="82" t="s">
        <v>443</v>
      </c>
    </row>
    <row r="88" spans="1:5" ht="15.6" x14ac:dyDescent="0.3">
      <c r="A88"/>
      <c r="D88" s="82" t="s">
        <v>498</v>
      </c>
      <c r="E88" s="82" t="s">
        <v>443</v>
      </c>
    </row>
    <row r="89" spans="1:5" ht="15.6" x14ac:dyDescent="0.3">
      <c r="A89"/>
      <c r="D89" s="82" t="s">
        <v>943</v>
      </c>
      <c r="E89" s="82" t="s">
        <v>445</v>
      </c>
    </row>
    <row r="90" spans="1:5" ht="15.6" x14ac:dyDescent="0.3">
      <c r="A90"/>
      <c r="D90" s="82" t="s">
        <v>944</v>
      </c>
      <c r="E90" s="82" t="s">
        <v>445</v>
      </c>
    </row>
    <row r="91" spans="1:5" ht="15.6" x14ac:dyDescent="0.3">
      <c r="A91"/>
      <c r="D91" s="82" t="s">
        <v>945</v>
      </c>
      <c r="E91" s="82" t="s">
        <v>445</v>
      </c>
    </row>
    <row r="92" spans="1:5" ht="15.6" x14ac:dyDescent="0.3">
      <c r="A92"/>
      <c r="D92" s="82" t="s">
        <v>946</v>
      </c>
      <c r="E92" s="82" t="s">
        <v>445</v>
      </c>
    </row>
    <row r="93" spans="1:5" ht="15.6" x14ac:dyDescent="0.3">
      <c r="A93"/>
      <c r="D93" s="82" t="s">
        <v>947</v>
      </c>
      <c r="E93" s="82" t="s">
        <v>445</v>
      </c>
    </row>
    <row r="94" spans="1:5" x14ac:dyDescent="0.3">
      <c r="A94"/>
    </row>
    <row r="95" spans="1:5" x14ac:dyDescent="0.3">
      <c r="A95"/>
    </row>
    <row r="96" spans="1:5" x14ac:dyDescent="0.3">
      <c r="A96"/>
    </row>
    <row r="97" spans="1:1" x14ac:dyDescent="0.3">
      <c r="A97"/>
    </row>
    <row r="98" spans="1:1" x14ac:dyDescent="0.3">
      <c r="A98"/>
    </row>
    <row r="99" spans="1:1" x14ac:dyDescent="0.3">
      <c r="A99"/>
    </row>
    <row r="100" spans="1:1" x14ac:dyDescent="0.3">
      <c r="A100"/>
    </row>
    <row r="101" spans="1:1" x14ac:dyDescent="0.3">
      <c r="A101"/>
    </row>
    <row r="102" spans="1:1" x14ac:dyDescent="0.3">
      <c r="A102"/>
    </row>
    <row r="103" spans="1:1" x14ac:dyDescent="0.3">
      <c r="A103"/>
    </row>
    <row r="104" spans="1:1" x14ac:dyDescent="0.3">
      <c r="A104"/>
    </row>
    <row r="105" spans="1:1" x14ac:dyDescent="0.3">
      <c r="A105"/>
    </row>
    <row r="106" spans="1:1" x14ac:dyDescent="0.3">
      <c r="A106"/>
    </row>
    <row r="107" spans="1:1" x14ac:dyDescent="0.3">
      <c r="A107"/>
    </row>
    <row r="108" spans="1:1" x14ac:dyDescent="0.3">
      <c r="A108"/>
    </row>
    <row r="109" spans="1:1" x14ac:dyDescent="0.3">
      <c r="A109"/>
    </row>
    <row r="110" spans="1:1" x14ac:dyDescent="0.3">
      <c r="A110"/>
    </row>
    <row r="111" spans="1:1" x14ac:dyDescent="0.3">
      <c r="A111"/>
    </row>
    <row r="112" spans="1:1" x14ac:dyDescent="0.3">
      <c r="A112"/>
    </row>
    <row r="113" spans="1:1" x14ac:dyDescent="0.3">
      <c r="A113"/>
    </row>
    <row r="114" spans="1:1" x14ac:dyDescent="0.3">
      <c r="A114"/>
    </row>
    <row r="115" spans="1:1" x14ac:dyDescent="0.3">
      <c r="A115"/>
    </row>
    <row r="116" spans="1:1" x14ac:dyDescent="0.3">
      <c r="A116"/>
    </row>
    <row r="117" spans="1:1" x14ac:dyDescent="0.3">
      <c r="A117"/>
    </row>
    <row r="118" spans="1:1" x14ac:dyDescent="0.3">
      <c r="A118"/>
    </row>
    <row r="119" spans="1:1" x14ac:dyDescent="0.3">
      <c r="A119"/>
    </row>
    <row r="120" spans="1:1" x14ac:dyDescent="0.3">
      <c r="A120"/>
    </row>
    <row r="121" spans="1:1" x14ac:dyDescent="0.3">
      <c r="A121"/>
    </row>
    <row r="122" spans="1:1" x14ac:dyDescent="0.3">
      <c r="A122"/>
    </row>
    <row r="123" spans="1:1" x14ac:dyDescent="0.3">
      <c r="A123"/>
    </row>
    <row r="124" spans="1:1" x14ac:dyDescent="0.3">
      <c r="A124"/>
    </row>
    <row r="125" spans="1:1" x14ac:dyDescent="0.3">
      <c r="A125"/>
    </row>
    <row r="126" spans="1:1" x14ac:dyDescent="0.3">
      <c r="A126"/>
    </row>
    <row r="127" spans="1:1" x14ac:dyDescent="0.3">
      <c r="A127"/>
    </row>
    <row r="128" spans="1:1" x14ac:dyDescent="0.3">
      <c r="A128"/>
    </row>
    <row r="129" spans="1:1" x14ac:dyDescent="0.3">
      <c r="A129"/>
    </row>
    <row r="130" spans="1:1" x14ac:dyDescent="0.3">
      <c r="A130"/>
    </row>
    <row r="131" spans="1:1" x14ac:dyDescent="0.3">
      <c r="A131"/>
    </row>
    <row r="132" spans="1:1" x14ac:dyDescent="0.3">
      <c r="A132"/>
    </row>
    <row r="133" spans="1:1" x14ac:dyDescent="0.3">
      <c r="A133"/>
    </row>
    <row r="134" spans="1:1" x14ac:dyDescent="0.3">
      <c r="A134"/>
    </row>
    <row r="135" spans="1:1" x14ac:dyDescent="0.3">
      <c r="A135"/>
    </row>
    <row r="136" spans="1:1" x14ac:dyDescent="0.3">
      <c r="A136"/>
    </row>
    <row r="137" spans="1:1" x14ac:dyDescent="0.3">
      <c r="A137"/>
    </row>
    <row r="138" spans="1:1" x14ac:dyDescent="0.3">
      <c r="A138"/>
    </row>
    <row r="139" spans="1:1" x14ac:dyDescent="0.3">
      <c r="A139"/>
    </row>
    <row r="140" spans="1:1" x14ac:dyDescent="0.3">
      <c r="A140"/>
    </row>
    <row r="141" spans="1:1" x14ac:dyDescent="0.3">
      <c r="A141"/>
    </row>
    <row r="142" spans="1:1" x14ac:dyDescent="0.3">
      <c r="A142"/>
    </row>
    <row r="143" spans="1:1" x14ac:dyDescent="0.3">
      <c r="A143"/>
    </row>
    <row r="144" spans="1:1" x14ac:dyDescent="0.3">
      <c r="A144"/>
    </row>
    <row r="145" spans="1:1" x14ac:dyDescent="0.3">
      <c r="A145"/>
    </row>
    <row r="146" spans="1:1" x14ac:dyDescent="0.3">
      <c r="A146"/>
    </row>
    <row r="147" spans="1:1" x14ac:dyDescent="0.3">
      <c r="A147"/>
    </row>
    <row r="148" spans="1:1" x14ac:dyDescent="0.3">
      <c r="A148"/>
    </row>
    <row r="149" spans="1:1" x14ac:dyDescent="0.3">
      <c r="A149"/>
    </row>
    <row r="150" spans="1:1" x14ac:dyDescent="0.3">
      <c r="A150"/>
    </row>
    <row r="151" spans="1:1" x14ac:dyDescent="0.3">
      <c r="A151"/>
    </row>
    <row r="152" spans="1:1" x14ac:dyDescent="0.3">
      <c r="A152"/>
    </row>
    <row r="153" spans="1:1" x14ac:dyDescent="0.3">
      <c r="A153"/>
    </row>
    <row r="154" spans="1:1" x14ac:dyDescent="0.3">
      <c r="A154"/>
    </row>
    <row r="155" spans="1:1" x14ac:dyDescent="0.3">
      <c r="A155"/>
    </row>
    <row r="156" spans="1:1" x14ac:dyDescent="0.3">
      <c r="A156"/>
    </row>
    <row r="157" spans="1:1" x14ac:dyDescent="0.3">
      <c r="A157"/>
    </row>
    <row r="158" spans="1:1" x14ac:dyDescent="0.3">
      <c r="A158"/>
    </row>
    <row r="159" spans="1:1" x14ac:dyDescent="0.3">
      <c r="A159"/>
    </row>
    <row r="160" spans="1:1" x14ac:dyDescent="0.3">
      <c r="A160"/>
    </row>
    <row r="161" spans="1:1" x14ac:dyDescent="0.3">
      <c r="A161"/>
    </row>
    <row r="162" spans="1:1" x14ac:dyDescent="0.3">
      <c r="A162"/>
    </row>
    <row r="163" spans="1:1" x14ac:dyDescent="0.3">
      <c r="A163"/>
    </row>
    <row r="164" spans="1:1" x14ac:dyDescent="0.3">
      <c r="A164"/>
    </row>
    <row r="165" spans="1:1" x14ac:dyDescent="0.3">
      <c r="A165"/>
    </row>
    <row r="166" spans="1:1" x14ac:dyDescent="0.3">
      <c r="A166"/>
    </row>
    <row r="167" spans="1:1" x14ac:dyDescent="0.3">
      <c r="A167"/>
    </row>
    <row r="168" spans="1:1" x14ac:dyDescent="0.3">
      <c r="A168"/>
    </row>
    <row r="169" spans="1:1" x14ac:dyDescent="0.3">
      <c r="A169"/>
    </row>
    <row r="170" spans="1:1" x14ac:dyDescent="0.3">
      <c r="A170"/>
    </row>
    <row r="171" spans="1:1" x14ac:dyDescent="0.3">
      <c r="A171"/>
    </row>
    <row r="172" spans="1:1" x14ac:dyDescent="0.3">
      <c r="A172"/>
    </row>
    <row r="173" spans="1:1" x14ac:dyDescent="0.3">
      <c r="A173"/>
    </row>
    <row r="174" spans="1:1" x14ac:dyDescent="0.3">
      <c r="A174"/>
    </row>
    <row r="175" spans="1:1" x14ac:dyDescent="0.3">
      <c r="A175"/>
    </row>
    <row r="176" spans="1:1" x14ac:dyDescent="0.3">
      <c r="A176"/>
    </row>
    <row r="177" spans="1:1" x14ac:dyDescent="0.3">
      <c r="A177"/>
    </row>
    <row r="178" spans="1:1" x14ac:dyDescent="0.3">
      <c r="A178"/>
    </row>
    <row r="179" spans="1:1" x14ac:dyDescent="0.3">
      <c r="A179"/>
    </row>
    <row r="180" spans="1:1" x14ac:dyDescent="0.3">
      <c r="A180"/>
    </row>
    <row r="181" spans="1:1" x14ac:dyDescent="0.3">
      <c r="A181"/>
    </row>
    <row r="182" spans="1:1" x14ac:dyDescent="0.3">
      <c r="A182"/>
    </row>
    <row r="183" spans="1:1" x14ac:dyDescent="0.3">
      <c r="A183"/>
    </row>
    <row r="184" spans="1:1" x14ac:dyDescent="0.3">
      <c r="A184"/>
    </row>
    <row r="185" spans="1:1" x14ac:dyDescent="0.3">
      <c r="A185"/>
    </row>
    <row r="186" spans="1:1" x14ac:dyDescent="0.3">
      <c r="A186"/>
    </row>
    <row r="187" spans="1:1" x14ac:dyDescent="0.3">
      <c r="A187"/>
    </row>
    <row r="188" spans="1:1" x14ac:dyDescent="0.3">
      <c r="A188"/>
    </row>
    <row r="189" spans="1:1" x14ac:dyDescent="0.3">
      <c r="A189"/>
    </row>
    <row r="190" spans="1:1" x14ac:dyDescent="0.3">
      <c r="A190"/>
    </row>
    <row r="191" spans="1:1" x14ac:dyDescent="0.3">
      <c r="A191"/>
    </row>
    <row r="192" spans="1:1" x14ac:dyDescent="0.3">
      <c r="A192"/>
    </row>
    <row r="193" spans="1:1" x14ac:dyDescent="0.3">
      <c r="A193"/>
    </row>
    <row r="194" spans="1:1" x14ac:dyDescent="0.3">
      <c r="A194"/>
    </row>
    <row r="195" spans="1:1" x14ac:dyDescent="0.3">
      <c r="A195"/>
    </row>
    <row r="196" spans="1:1" x14ac:dyDescent="0.3">
      <c r="A196"/>
    </row>
    <row r="197" spans="1:1" x14ac:dyDescent="0.3">
      <c r="A197"/>
    </row>
    <row r="198" spans="1:1" x14ac:dyDescent="0.3">
      <c r="A198"/>
    </row>
    <row r="199" spans="1:1" x14ac:dyDescent="0.3">
      <c r="A199"/>
    </row>
    <row r="200" spans="1:1" x14ac:dyDescent="0.3">
      <c r="A200"/>
    </row>
    <row r="201" spans="1:1" x14ac:dyDescent="0.3">
      <c r="A201"/>
    </row>
    <row r="202" spans="1:1" x14ac:dyDescent="0.3">
      <c r="A202"/>
    </row>
    <row r="203" spans="1:1" x14ac:dyDescent="0.3">
      <c r="A203"/>
    </row>
    <row r="204" spans="1:1" x14ac:dyDescent="0.3">
      <c r="A204"/>
    </row>
    <row r="205" spans="1:1" x14ac:dyDescent="0.3">
      <c r="A205"/>
    </row>
    <row r="206" spans="1:1" x14ac:dyDescent="0.3">
      <c r="A206"/>
    </row>
    <row r="207" spans="1:1" x14ac:dyDescent="0.3">
      <c r="A207"/>
    </row>
    <row r="208" spans="1:1" x14ac:dyDescent="0.3">
      <c r="A208"/>
    </row>
    <row r="209" spans="1:1" x14ac:dyDescent="0.3">
      <c r="A209"/>
    </row>
    <row r="210" spans="1:1" x14ac:dyDescent="0.3">
      <c r="A210"/>
    </row>
    <row r="211" spans="1:1" x14ac:dyDescent="0.3">
      <c r="A211"/>
    </row>
    <row r="212" spans="1:1" x14ac:dyDescent="0.3">
      <c r="A212"/>
    </row>
    <row r="213" spans="1:1" x14ac:dyDescent="0.3">
      <c r="A213"/>
    </row>
    <row r="214" spans="1:1" x14ac:dyDescent="0.3">
      <c r="A214"/>
    </row>
    <row r="215" spans="1:1" x14ac:dyDescent="0.3">
      <c r="A215"/>
    </row>
    <row r="216" spans="1:1" x14ac:dyDescent="0.3">
      <c r="A216"/>
    </row>
    <row r="217" spans="1:1" x14ac:dyDescent="0.3">
      <c r="A217"/>
    </row>
    <row r="218" spans="1:1" x14ac:dyDescent="0.3">
      <c r="A218"/>
    </row>
    <row r="219" spans="1:1" x14ac:dyDescent="0.3">
      <c r="A219"/>
    </row>
    <row r="220" spans="1:1" x14ac:dyDescent="0.3">
      <c r="A220"/>
    </row>
    <row r="221" spans="1:1" x14ac:dyDescent="0.3">
      <c r="A221"/>
    </row>
    <row r="222" spans="1:1" x14ac:dyDescent="0.3">
      <c r="A222"/>
    </row>
    <row r="223" spans="1:1" x14ac:dyDescent="0.3">
      <c r="A223"/>
    </row>
    <row r="224" spans="1:1" x14ac:dyDescent="0.3">
      <c r="A224"/>
    </row>
    <row r="225" spans="1:1" x14ac:dyDescent="0.3">
      <c r="A225"/>
    </row>
    <row r="226" spans="1:1" x14ac:dyDescent="0.3">
      <c r="A226"/>
    </row>
    <row r="227" spans="1:1" x14ac:dyDescent="0.3">
      <c r="A227"/>
    </row>
    <row r="228" spans="1:1" x14ac:dyDescent="0.3">
      <c r="A228"/>
    </row>
    <row r="229" spans="1:1" x14ac:dyDescent="0.3">
      <c r="A229"/>
    </row>
    <row r="230" spans="1:1" x14ac:dyDescent="0.3">
      <c r="A230"/>
    </row>
    <row r="231" spans="1:1" x14ac:dyDescent="0.3">
      <c r="A231"/>
    </row>
    <row r="232" spans="1:1" x14ac:dyDescent="0.3">
      <c r="A232"/>
    </row>
    <row r="233" spans="1:1" x14ac:dyDescent="0.3">
      <c r="A233"/>
    </row>
    <row r="234" spans="1:1" x14ac:dyDescent="0.3">
      <c r="A234"/>
    </row>
    <row r="235" spans="1:1" x14ac:dyDescent="0.3">
      <c r="A235"/>
    </row>
    <row r="236" spans="1:1" x14ac:dyDescent="0.3">
      <c r="A236"/>
    </row>
    <row r="237" spans="1:1" x14ac:dyDescent="0.3">
      <c r="A237"/>
    </row>
    <row r="238" spans="1:1" x14ac:dyDescent="0.3">
      <c r="A238"/>
    </row>
    <row r="239" spans="1:1" x14ac:dyDescent="0.3">
      <c r="A239"/>
    </row>
    <row r="240" spans="1:1" x14ac:dyDescent="0.3">
      <c r="A240"/>
    </row>
    <row r="241" spans="1:1" x14ac:dyDescent="0.3">
      <c r="A241"/>
    </row>
    <row r="242" spans="1:1" x14ac:dyDescent="0.3">
      <c r="A242"/>
    </row>
    <row r="243" spans="1:1" x14ac:dyDescent="0.3">
      <c r="A243"/>
    </row>
    <row r="244" spans="1:1" x14ac:dyDescent="0.3">
      <c r="A244"/>
    </row>
    <row r="245" spans="1:1" x14ac:dyDescent="0.3">
      <c r="A245"/>
    </row>
    <row r="246" spans="1:1" x14ac:dyDescent="0.3">
      <c r="A246"/>
    </row>
    <row r="247" spans="1:1" x14ac:dyDescent="0.3">
      <c r="A247"/>
    </row>
    <row r="248" spans="1:1" x14ac:dyDescent="0.3">
      <c r="A248"/>
    </row>
    <row r="249" spans="1:1" x14ac:dyDescent="0.3">
      <c r="A249"/>
    </row>
    <row r="250" spans="1:1" x14ac:dyDescent="0.3">
      <c r="A250"/>
    </row>
    <row r="251" spans="1:1" x14ac:dyDescent="0.3">
      <c r="A251"/>
    </row>
    <row r="252" spans="1:1" x14ac:dyDescent="0.3">
      <c r="A252"/>
    </row>
    <row r="253" spans="1:1" x14ac:dyDescent="0.3">
      <c r="A253"/>
    </row>
    <row r="254" spans="1:1" x14ac:dyDescent="0.3">
      <c r="A254"/>
    </row>
    <row r="255" spans="1:1" x14ac:dyDescent="0.3">
      <c r="A255"/>
    </row>
    <row r="256" spans="1:1" x14ac:dyDescent="0.3">
      <c r="A256"/>
    </row>
  </sheetData>
  <autoFilter ref="A1:B48" xr:uid="{DCC09853-543F-42A3-A31B-180EEC099E47}"/>
  <pageMargins left="0.7" right="0.7" top="0.75" bottom="0.75" header="0.3" footer="0.3"/>
  <customProperties>
    <customPr name="LastActive" r:id="rId3"/>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84532EA4-9614-4AF8-A8FC-12973B67CBED}">
          <x14:formula1>
            <xm:f>'Z:\FileServer Data\FDEP LSJR Main Stem BMAP\11 2018 Progress Report Items\Received\CCUA\[LSJM_CCUA Aggregate Revised.xlsx]Drop Downs'!#REF!</xm:f>
          </x14:formula1>
          <xm:sqref>A1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CFA76-7AD8-4B45-8EF6-4FB941D551A7}">
  <dimension ref="A1:M68"/>
  <sheetViews>
    <sheetView tabSelected="1" workbookViewId="0">
      <selection activeCell="I37" sqref="I37"/>
    </sheetView>
  </sheetViews>
  <sheetFormatPr defaultRowHeight="14.4" x14ac:dyDescent="0.3"/>
  <cols>
    <col min="1" max="1" width="31.33203125" bestFit="1" customWidth="1"/>
    <col min="2" max="5" width="14.5546875" bestFit="1" customWidth="1"/>
    <col min="6" max="7" width="11" bestFit="1" customWidth="1"/>
    <col min="8" max="8" width="31.33203125" bestFit="1" customWidth="1"/>
    <col min="9" max="9" width="22.33203125" bestFit="1" customWidth="1"/>
    <col min="10" max="10" width="20.44140625" bestFit="1" customWidth="1"/>
    <col min="11" max="11" width="12" customWidth="1"/>
    <col min="12" max="12" width="27.21875" bestFit="1" customWidth="1"/>
  </cols>
  <sheetData>
    <row r="1" spans="1:13" x14ac:dyDescent="0.3">
      <c r="H1" s="184" t="s">
        <v>406</v>
      </c>
      <c r="I1" s="184" t="s">
        <v>2</v>
      </c>
      <c r="J1" s="184" t="s">
        <v>1</v>
      </c>
      <c r="K1" s="184" t="s">
        <v>322</v>
      </c>
      <c r="L1" s="184" t="s">
        <v>118</v>
      </c>
      <c r="M1" s="184" t="s">
        <v>1315</v>
      </c>
    </row>
    <row r="2" spans="1:13" x14ac:dyDescent="0.3">
      <c r="H2" s="183" t="s">
        <v>600</v>
      </c>
      <c r="I2" s="183">
        <v>2</v>
      </c>
      <c r="J2" s="183">
        <v>1</v>
      </c>
      <c r="K2" s="183">
        <v>0</v>
      </c>
      <c r="L2" s="183">
        <v>3</v>
      </c>
      <c r="M2" s="183">
        <v>5</v>
      </c>
    </row>
    <row r="3" spans="1:13" x14ac:dyDescent="0.3">
      <c r="A3" s="34" t="s">
        <v>1314</v>
      </c>
      <c r="B3" s="34" t="s">
        <v>411</v>
      </c>
      <c r="H3" s="183" t="s">
        <v>58</v>
      </c>
      <c r="I3" s="183">
        <v>0</v>
      </c>
      <c r="J3" s="183">
        <v>1</v>
      </c>
      <c r="K3" s="183">
        <v>0</v>
      </c>
      <c r="L3" s="183">
        <v>0</v>
      </c>
      <c r="M3" s="183">
        <v>1</v>
      </c>
    </row>
    <row r="4" spans="1:13" x14ac:dyDescent="0.3">
      <c r="A4" s="34" t="s">
        <v>406</v>
      </c>
      <c r="B4" t="s">
        <v>2</v>
      </c>
      <c r="C4" t="s">
        <v>1</v>
      </c>
      <c r="D4" t="s">
        <v>118</v>
      </c>
      <c r="E4" t="s">
        <v>322</v>
      </c>
      <c r="F4" t="s">
        <v>5</v>
      </c>
      <c r="H4" s="183" t="s">
        <v>77</v>
      </c>
      <c r="I4" s="183">
        <v>15</v>
      </c>
      <c r="J4" s="183">
        <v>2</v>
      </c>
      <c r="K4" s="183">
        <v>1</v>
      </c>
      <c r="L4" s="183">
        <v>1</v>
      </c>
      <c r="M4" s="183">
        <v>19</v>
      </c>
    </row>
    <row r="5" spans="1:13" x14ac:dyDescent="0.3">
      <c r="A5" t="s">
        <v>600</v>
      </c>
      <c r="B5" s="45">
        <v>1</v>
      </c>
      <c r="C5" s="45">
        <v>1</v>
      </c>
      <c r="D5" s="45">
        <v>3</v>
      </c>
      <c r="E5" s="45"/>
      <c r="F5" s="45">
        <v>5</v>
      </c>
      <c r="H5" s="183" t="s">
        <v>546</v>
      </c>
      <c r="I5" s="183">
        <v>2</v>
      </c>
      <c r="J5" s="183">
        <v>3</v>
      </c>
      <c r="K5" s="183">
        <v>1</v>
      </c>
      <c r="L5" s="183">
        <v>0</v>
      </c>
      <c r="M5" s="183">
        <v>6</v>
      </c>
    </row>
    <row r="6" spans="1:13" x14ac:dyDescent="0.3">
      <c r="A6" t="s">
        <v>58</v>
      </c>
      <c r="B6" s="45"/>
      <c r="C6" s="45">
        <v>1</v>
      </c>
      <c r="D6" s="45"/>
      <c r="E6" s="45"/>
      <c r="F6" s="45">
        <v>1</v>
      </c>
      <c r="H6" s="183" t="s">
        <v>78</v>
      </c>
      <c r="I6" s="183">
        <v>10</v>
      </c>
      <c r="J6" s="183">
        <v>2</v>
      </c>
      <c r="K6" s="183">
        <v>1</v>
      </c>
      <c r="L6" s="183">
        <v>3</v>
      </c>
      <c r="M6" s="183">
        <v>16</v>
      </c>
    </row>
    <row r="7" spans="1:13" x14ac:dyDescent="0.3">
      <c r="A7" t="s">
        <v>77</v>
      </c>
      <c r="B7" s="45">
        <v>15</v>
      </c>
      <c r="C7" s="45">
        <v>2</v>
      </c>
      <c r="D7" s="45">
        <v>1</v>
      </c>
      <c r="E7" s="45">
        <v>1</v>
      </c>
      <c r="F7" s="45">
        <v>19</v>
      </c>
      <c r="H7" s="183" t="s">
        <v>774</v>
      </c>
      <c r="I7" s="183">
        <v>0</v>
      </c>
      <c r="J7" s="183">
        <v>0</v>
      </c>
      <c r="K7" s="183">
        <v>2</v>
      </c>
      <c r="L7" s="183">
        <v>1</v>
      </c>
      <c r="M7" s="183">
        <v>3</v>
      </c>
    </row>
    <row r="8" spans="1:13" x14ac:dyDescent="0.3">
      <c r="A8" t="s">
        <v>546</v>
      </c>
      <c r="B8" s="45">
        <v>2</v>
      </c>
      <c r="C8" s="45">
        <v>3</v>
      </c>
      <c r="D8" s="45"/>
      <c r="E8" s="45">
        <v>1</v>
      </c>
      <c r="F8" s="45">
        <v>6</v>
      </c>
      <c r="H8" s="183" t="s">
        <v>693</v>
      </c>
      <c r="I8" s="183">
        <v>1</v>
      </c>
      <c r="J8" s="183">
        <v>0</v>
      </c>
      <c r="K8" s="183">
        <v>0</v>
      </c>
      <c r="L8" s="183">
        <v>1</v>
      </c>
      <c r="M8" s="183">
        <v>2</v>
      </c>
    </row>
    <row r="9" spans="1:13" x14ac:dyDescent="0.3">
      <c r="A9" t="s">
        <v>78</v>
      </c>
      <c r="B9" s="45">
        <v>10</v>
      </c>
      <c r="C9" s="45">
        <v>2</v>
      </c>
      <c r="D9" s="45">
        <v>3</v>
      </c>
      <c r="E9" s="45">
        <v>1</v>
      </c>
      <c r="F9" s="45">
        <v>16</v>
      </c>
      <c r="H9" s="183" t="s">
        <v>627</v>
      </c>
      <c r="I9" s="183">
        <v>1</v>
      </c>
      <c r="J9" s="183">
        <v>1</v>
      </c>
      <c r="K9" s="183">
        <v>0</v>
      </c>
      <c r="L9" s="183">
        <v>3</v>
      </c>
      <c r="M9" s="183">
        <v>5</v>
      </c>
    </row>
    <row r="10" spans="1:13" x14ac:dyDescent="0.3">
      <c r="A10" t="s">
        <v>774</v>
      </c>
      <c r="B10" s="45"/>
      <c r="C10" s="45"/>
      <c r="D10" s="45">
        <v>1</v>
      </c>
      <c r="E10" s="45">
        <v>2</v>
      </c>
      <c r="F10" s="45">
        <v>3</v>
      </c>
      <c r="H10" s="183" t="s">
        <v>643</v>
      </c>
      <c r="I10" s="183">
        <v>1</v>
      </c>
      <c r="J10" s="183">
        <v>1</v>
      </c>
      <c r="K10" s="183">
        <v>0</v>
      </c>
      <c r="L10" s="183">
        <v>3</v>
      </c>
      <c r="M10" s="183">
        <v>5</v>
      </c>
    </row>
    <row r="11" spans="1:13" x14ac:dyDescent="0.3">
      <c r="A11" t="s">
        <v>693</v>
      </c>
      <c r="B11" s="45">
        <v>1</v>
      </c>
      <c r="C11" s="45"/>
      <c r="D11" s="45">
        <v>1</v>
      </c>
      <c r="E11" s="45"/>
      <c r="F11" s="45">
        <v>2</v>
      </c>
      <c r="H11" s="183" t="s">
        <v>591</v>
      </c>
      <c r="I11" s="183">
        <v>2</v>
      </c>
      <c r="J11" s="183">
        <v>0</v>
      </c>
      <c r="K11" s="183">
        <v>2</v>
      </c>
      <c r="L11" s="183">
        <v>3</v>
      </c>
      <c r="M11" s="183">
        <v>7</v>
      </c>
    </row>
    <row r="12" spans="1:13" x14ac:dyDescent="0.3">
      <c r="A12" t="s">
        <v>627</v>
      </c>
      <c r="B12" s="45">
        <v>1</v>
      </c>
      <c r="C12" s="45">
        <v>1</v>
      </c>
      <c r="D12" s="45">
        <v>3</v>
      </c>
      <c r="E12" s="45"/>
      <c r="F12" s="45">
        <v>5</v>
      </c>
      <c r="H12" s="183" t="s">
        <v>635</v>
      </c>
      <c r="I12" s="183">
        <v>1</v>
      </c>
      <c r="J12" s="183">
        <v>1</v>
      </c>
      <c r="K12" s="183">
        <v>0</v>
      </c>
      <c r="L12" s="183">
        <v>3</v>
      </c>
      <c r="M12" s="183">
        <v>5</v>
      </c>
    </row>
    <row r="13" spans="1:13" x14ac:dyDescent="0.3">
      <c r="A13" t="s">
        <v>643</v>
      </c>
      <c r="B13" s="45">
        <v>1</v>
      </c>
      <c r="C13" s="45">
        <v>1</v>
      </c>
      <c r="D13" s="45">
        <v>3</v>
      </c>
      <c r="E13" s="45"/>
      <c r="F13" s="45">
        <v>5</v>
      </c>
      <c r="H13" s="183" t="s">
        <v>649</v>
      </c>
      <c r="I13" s="183">
        <v>1</v>
      </c>
      <c r="J13" s="183">
        <v>1</v>
      </c>
      <c r="K13" s="183">
        <v>0</v>
      </c>
      <c r="L13" s="183">
        <v>3</v>
      </c>
      <c r="M13" s="183">
        <v>5</v>
      </c>
    </row>
    <row r="14" spans="1:13" x14ac:dyDescent="0.3">
      <c r="A14" t="s">
        <v>591</v>
      </c>
      <c r="B14" s="45">
        <v>2</v>
      </c>
      <c r="C14" s="45"/>
      <c r="D14" s="45">
        <v>3</v>
      </c>
      <c r="E14" s="45">
        <v>2</v>
      </c>
      <c r="F14" s="45">
        <v>7</v>
      </c>
      <c r="H14" s="183" t="s">
        <v>655</v>
      </c>
      <c r="I14" s="183">
        <v>1</v>
      </c>
      <c r="J14" s="183">
        <v>1</v>
      </c>
      <c r="K14" s="183">
        <v>0</v>
      </c>
      <c r="L14" s="183">
        <v>3</v>
      </c>
      <c r="M14" s="183">
        <v>5</v>
      </c>
    </row>
    <row r="15" spans="1:13" x14ac:dyDescent="0.3">
      <c r="A15" t="s">
        <v>635</v>
      </c>
      <c r="B15" s="45">
        <v>1</v>
      </c>
      <c r="C15" s="45">
        <v>1</v>
      </c>
      <c r="D15" s="45">
        <v>3</v>
      </c>
      <c r="E15" s="45"/>
      <c r="F15" s="45">
        <v>5</v>
      </c>
      <c r="H15" s="183" t="s">
        <v>661</v>
      </c>
      <c r="I15" s="183">
        <v>1</v>
      </c>
      <c r="J15" s="183">
        <v>1</v>
      </c>
      <c r="K15" s="183">
        <v>0</v>
      </c>
      <c r="L15" s="183">
        <v>3</v>
      </c>
      <c r="M15" s="183">
        <v>5</v>
      </c>
    </row>
    <row r="16" spans="1:13" x14ac:dyDescent="0.3">
      <c r="A16" t="s">
        <v>649</v>
      </c>
      <c r="B16" s="45">
        <v>1</v>
      </c>
      <c r="C16" s="45">
        <v>1</v>
      </c>
      <c r="D16" s="45">
        <v>3</v>
      </c>
      <c r="E16" s="45"/>
      <c r="F16" s="45">
        <v>5</v>
      </c>
      <c r="H16" s="183" t="s">
        <v>96</v>
      </c>
      <c r="I16" s="183">
        <v>0</v>
      </c>
      <c r="J16" s="183">
        <v>6</v>
      </c>
      <c r="K16" s="183">
        <v>0</v>
      </c>
      <c r="L16" s="183">
        <v>0</v>
      </c>
      <c r="M16" s="183">
        <v>6</v>
      </c>
    </row>
    <row r="17" spans="1:13" x14ac:dyDescent="0.3">
      <c r="A17" t="s">
        <v>655</v>
      </c>
      <c r="B17" s="45">
        <v>1</v>
      </c>
      <c r="C17" s="45">
        <v>1</v>
      </c>
      <c r="D17" s="45">
        <v>3</v>
      </c>
      <c r="E17" s="45"/>
      <c r="F17" s="45">
        <v>5</v>
      </c>
      <c r="H17" s="183" t="s">
        <v>427</v>
      </c>
      <c r="I17" s="183">
        <v>26</v>
      </c>
      <c r="J17" s="183">
        <v>2</v>
      </c>
      <c r="K17" s="183">
        <v>3</v>
      </c>
      <c r="L17" s="183">
        <v>0</v>
      </c>
      <c r="M17" s="183">
        <v>31</v>
      </c>
    </row>
    <row r="18" spans="1:13" x14ac:dyDescent="0.3">
      <c r="A18" t="s">
        <v>661</v>
      </c>
      <c r="B18" s="45">
        <v>1</v>
      </c>
      <c r="C18" s="45">
        <v>1</v>
      </c>
      <c r="D18" s="45">
        <v>3</v>
      </c>
      <c r="E18" s="45"/>
      <c r="F18" s="45">
        <v>5</v>
      </c>
      <c r="H18" s="183" t="s">
        <v>672</v>
      </c>
      <c r="I18" s="183">
        <v>1</v>
      </c>
      <c r="J18" s="183">
        <v>1</v>
      </c>
      <c r="K18" s="183">
        <v>0</v>
      </c>
      <c r="L18" s="183">
        <v>3</v>
      </c>
      <c r="M18" s="183">
        <v>5</v>
      </c>
    </row>
    <row r="19" spans="1:13" x14ac:dyDescent="0.3">
      <c r="A19" t="s">
        <v>96</v>
      </c>
      <c r="B19" s="45"/>
      <c r="C19" s="45">
        <v>6</v>
      </c>
      <c r="D19" s="45"/>
      <c r="E19" s="45"/>
      <c r="F19" s="45">
        <v>6</v>
      </c>
      <c r="H19" s="183" t="s">
        <v>679</v>
      </c>
      <c r="I19" s="183">
        <v>1</v>
      </c>
      <c r="J19" s="183">
        <v>1</v>
      </c>
      <c r="K19" s="183">
        <v>0</v>
      </c>
      <c r="L19" s="183">
        <v>3</v>
      </c>
      <c r="M19" s="183">
        <v>5</v>
      </c>
    </row>
    <row r="20" spans="1:13" x14ac:dyDescent="0.3">
      <c r="A20" t="s">
        <v>427</v>
      </c>
      <c r="B20" s="45">
        <v>26</v>
      </c>
      <c r="C20" s="45">
        <v>2</v>
      </c>
      <c r="D20" s="45"/>
      <c r="E20" s="45">
        <v>3</v>
      </c>
      <c r="F20" s="45">
        <v>31</v>
      </c>
      <c r="H20" s="183" t="s">
        <v>567</v>
      </c>
      <c r="I20" s="183">
        <v>1</v>
      </c>
      <c r="J20" s="183">
        <v>0</v>
      </c>
      <c r="K20" s="183">
        <v>2</v>
      </c>
      <c r="L20" s="183">
        <v>0</v>
      </c>
      <c r="M20" s="183">
        <v>3</v>
      </c>
    </row>
    <row r="21" spans="1:13" x14ac:dyDescent="0.3">
      <c r="A21" t="s">
        <v>672</v>
      </c>
      <c r="B21" s="45">
        <v>1</v>
      </c>
      <c r="C21" s="45">
        <v>1</v>
      </c>
      <c r="D21" s="45">
        <v>3</v>
      </c>
      <c r="E21" s="45"/>
      <c r="F21" s="45">
        <v>5</v>
      </c>
      <c r="H21" s="183" t="s">
        <v>840</v>
      </c>
      <c r="I21" s="183">
        <v>0</v>
      </c>
      <c r="J21" s="183">
        <v>0</v>
      </c>
      <c r="K21" s="183">
        <v>1</v>
      </c>
      <c r="L21" s="183">
        <v>2</v>
      </c>
      <c r="M21" s="183">
        <v>3</v>
      </c>
    </row>
    <row r="22" spans="1:13" x14ac:dyDescent="0.3">
      <c r="A22" t="s">
        <v>679</v>
      </c>
      <c r="B22" s="45">
        <v>1</v>
      </c>
      <c r="C22" s="45">
        <v>1</v>
      </c>
      <c r="D22" s="45">
        <v>3</v>
      </c>
      <c r="E22" s="45"/>
      <c r="F22" s="45">
        <v>5</v>
      </c>
      <c r="H22" s="183" t="s">
        <v>685</v>
      </c>
      <c r="I22" s="183">
        <v>1</v>
      </c>
      <c r="J22" s="183">
        <v>1</v>
      </c>
      <c r="K22" s="183">
        <v>0</v>
      </c>
      <c r="L22" s="183">
        <v>3</v>
      </c>
      <c r="M22" s="183">
        <v>5</v>
      </c>
    </row>
    <row r="23" spans="1:13" x14ac:dyDescent="0.3">
      <c r="A23" t="s">
        <v>567</v>
      </c>
      <c r="B23" s="45">
        <v>1</v>
      </c>
      <c r="C23" s="45"/>
      <c r="D23" s="45"/>
      <c r="E23" s="45">
        <v>2</v>
      </c>
      <c r="F23" s="45">
        <v>3</v>
      </c>
      <c r="H23" s="183" t="s">
        <v>101</v>
      </c>
      <c r="I23" s="183">
        <v>9</v>
      </c>
      <c r="J23" s="183">
        <v>1</v>
      </c>
      <c r="K23" s="183">
        <v>7</v>
      </c>
      <c r="L23" s="183">
        <v>1</v>
      </c>
      <c r="M23" s="183">
        <v>18</v>
      </c>
    </row>
    <row r="24" spans="1:13" x14ac:dyDescent="0.3">
      <c r="A24" t="s">
        <v>840</v>
      </c>
      <c r="B24" s="45"/>
      <c r="C24" s="45"/>
      <c r="D24" s="45">
        <v>2</v>
      </c>
      <c r="E24" s="45">
        <v>1</v>
      </c>
      <c r="F24" s="45">
        <v>3</v>
      </c>
      <c r="H24" s="183" t="s">
        <v>28</v>
      </c>
      <c r="I24" s="183">
        <v>37</v>
      </c>
      <c r="J24" s="183">
        <v>2</v>
      </c>
      <c r="K24" s="183">
        <v>3</v>
      </c>
      <c r="L24" s="183">
        <v>8</v>
      </c>
      <c r="M24" s="183">
        <v>50</v>
      </c>
    </row>
    <row r="25" spans="1:13" x14ac:dyDescent="0.3">
      <c r="A25" t="s">
        <v>685</v>
      </c>
      <c r="B25" s="45">
        <v>1</v>
      </c>
      <c r="C25" s="45">
        <v>1</v>
      </c>
      <c r="D25" s="45">
        <v>3</v>
      </c>
      <c r="E25" s="45"/>
      <c r="F25" s="45">
        <v>5</v>
      </c>
      <c r="H25" s="183" t="s">
        <v>102</v>
      </c>
      <c r="I25" s="183">
        <v>0</v>
      </c>
      <c r="J25" s="183">
        <v>2</v>
      </c>
      <c r="K25" s="183">
        <v>0</v>
      </c>
      <c r="L25" s="183">
        <v>0</v>
      </c>
      <c r="M25" s="183">
        <v>2</v>
      </c>
    </row>
    <row r="26" spans="1:13" x14ac:dyDescent="0.3">
      <c r="A26" t="s">
        <v>101</v>
      </c>
      <c r="B26" s="45">
        <v>9</v>
      </c>
      <c r="C26" s="45">
        <v>1</v>
      </c>
      <c r="D26" s="45">
        <v>1</v>
      </c>
      <c r="E26" s="45">
        <v>7</v>
      </c>
      <c r="F26" s="45">
        <v>18</v>
      </c>
      <c r="H26" s="183" t="s">
        <v>879</v>
      </c>
      <c r="I26" s="183">
        <v>0</v>
      </c>
      <c r="J26" s="183">
        <v>2</v>
      </c>
      <c r="K26" s="183">
        <v>0</v>
      </c>
      <c r="L26" s="183">
        <v>0</v>
      </c>
      <c r="M26" s="183">
        <v>2</v>
      </c>
    </row>
    <row r="27" spans="1:13" x14ac:dyDescent="0.3">
      <c r="A27" t="s">
        <v>28</v>
      </c>
      <c r="B27" s="45">
        <v>37</v>
      </c>
      <c r="C27" s="45">
        <v>2</v>
      </c>
      <c r="D27" s="45">
        <v>8</v>
      </c>
      <c r="E27" s="45">
        <v>3</v>
      </c>
      <c r="F27" s="45">
        <v>50</v>
      </c>
      <c r="H27" s="183" t="s">
        <v>884</v>
      </c>
      <c r="I27" s="183">
        <v>0</v>
      </c>
      <c r="J27" s="183">
        <v>0</v>
      </c>
      <c r="K27" s="183">
        <v>0</v>
      </c>
      <c r="L27" s="183">
        <v>1</v>
      </c>
      <c r="M27" s="183">
        <v>1</v>
      </c>
    </row>
    <row r="28" spans="1:13" x14ac:dyDescent="0.3">
      <c r="A28" t="s">
        <v>102</v>
      </c>
      <c r="B28" s="45"/>
      <c r="C28" s="45">
        <v>2</v>
      </c>
      <c r="D28" s="45"/>
      <c r="E28" s="45"/>
      <c r="F28" s="45">
        <v>2</v>
      </c>
      <c r="H28" s="183" t="s">
        <v>697</v>
      </c>
      <c r="I28" s="183">
        <v>3</v>
      </c>
      <c r="J28" s="183">
        <v>1</v>
      </c>
      <c r="K28" s="183">
        <v>0</v>
      </c>
      <c r="L28" s="183">
        <v>0</v>
      </c>
      <c r="M28" s="183">
        <v>4</v>
      </c>
    </row>
    <row r="29" spans="1:13" x14ac:dyDescent="0.3">
      <c r="A29" t="s">
        <v>879</v>
      </c>
      <c r="B29" s="45"/>
      <c r="C29" s="45">
        <v>2</v>
      </c>
      <c r="D29" s="45"/>
      <c r="E29" s="45"/>
      <c r="F29" s="45">
        <v>2</v>
      </c>
      <c r="H29" s="183" t="s">
        <v>705</v>
      </c>
      <c r="I29" s="183">
        <v>1</v>
      </c>
      <c r="J29" s="183">
        <v>1</v>
      </c>
      <c r="K29" s="183">
        <v>0</v>
      </c>
      <c r="L29" s="183">
        <v>3</v>
      </c>
      <c r="M29" s="183">
        <v>5</v>
      </c>
    </row>
    <row r="30" spans="1:13" x14ac:dyDescent="0.3">
      <c r="A30" t="s">
        <v>884</v>
      </c>
      <c r="B30" s="45"/>
      <c r="C30" s="45"/>
      <c r="D30" s="45">
        <v>1</v>
      </c>
      <c r="E30" s="45"/>
      <c r="F30" s="45">
        <v>1</v>
      </c>
      <c r="H30" s="183" t="s">
        <v>711</v>
      </c>
      <c r="I30" s="183">
        <v>0</v>
      </c>
      <c r="J30" s="183">
        <v>1</v>
      </c>
      <c r="K30" s="183">
        <v>0</v>
      </c>
      <c r="L30" s="183">
        <v>0</v>
      </c>
      <c r="M30" s="183">
        <v>1</v>
      </c>
    </row>
    <row r="31" spans="1:13" x14ac:dyDescent="0.3">
      <c r="A31" t="s">
        <v>697</v>
      </c>
      <c r="B31" s="45">
        <v>3</v>
      </c>
      <c r="C31" s="45">
        <v>1</v>
      </c>
      <c r="D31" s="45"/>
      <c r="E31" s="45"/>
      <c r="F31" s="45">
        <v>4</v>
      </c>
      <c r="H31" s="183" t="s">
        <v>714</v>
      </c>
      <c r="I31" s="183">
        <v>0</v>
      </c>
      <c r="J31" s="183">
        <v>1</v>
      </c>
      <c r="K31" s="183">
        <v>0</v>
      </c>
      <c r="L31" s="183">
        <v>0</v>
      </c>
      <c r="M31" s="183">
        <v>1</v>
      </c>
    </row>
    <row r="32" spans="1:13" x14ac:dyDescent="0.3">
      <c r="A32" t="s">
        <v>705</v>
      </c>
      <c r="B32" s="45">
        <v>1</v>
      </c>
      <c r="C32" s="45">
        <v>1</v>
      </c>
      <c r="D32" s="45">
        <v>3</v>
      </c>
      <c r="E32" s="45"/>
      <c r="F32" s="45">
        <v>5</v>
      </c>
      <c r="H32" s="185" t="s">
        <v>5</v>
      </c>
      <c r="I32" s="185">
        <v>117</v>
      </c>
      <c r="J32" s="185">
        <v>37</v>
      </c>
      <c r="K32" s="185">
        <v>23</v>
      </c>
      <c r="L32" s="185">
        <v>54</v>
      </c>
      <c r="M32" s="185">
        <v>231</v>
      </c>
    </row>
    <row r="33" spans="1:7" x14ac:dyDescent="0.3">
      <c r="A33" t="s">
        <v>711</v>
      </c>
      <c r="B33" s="45"/>
      <c r="C33" s="45">
        <v>1</v>
      </c>
      <c r="D33" s="45"/>
      <c r="E33" s="45"/>
      <c r="F33" s="45">
        <v>1</v>
      </c>
    </row>
    <row r="34" spans="1:7" x14ac:dyDescent="0.3">
      <c r="A34" t="s">
        <v>714</v>
      </c>
      <c r="B34" s="45"/>
      <c r="C34" s="45">
        <v>1</v>
      </c>
      <c r="D34" s="45"/>
      <c r="E34" s="45"/>
      <c r="F34" s="45">
        <v>1</v>
      </c>
    </row>
    <row r="35" spans="1:7" x14ac:dyDescent="0.3">
      <c r="A35" t="s">
        <v>5</v>
      </c>
      <c r="B35" s="45">
        <v>117</v>
      </c>
      <c r="C35" s="45">
        <v>37</v>
      </c>
      <c r="D35" s="45">
        <v>54</v>
      </c>
      <c r="E35" s="45">
        <v>23</v>
      </c>
      <c r="F35" s="45">
        <v>231</v>
      </c>
    </row>
    <row r="37" spans="1:7" x14ac:dyDescent="0.3">
      <c r="A37" s="186"/>
      <c r="B37" s="186"/>
      <c r="C37" s="186"/>
      <c r="D37" s="186"/>
      <c r="E37" s="186"/>
      <c r="F37" s="186"/>
      <c r="G37" s="187"/>
    </row>
    <row r="38" spans="1:7" x14ac:dyDescent="0.3">
      <c r="A38" s="186"/>
      <c r="B38" s="186"/>
      <c r="C38" s="186"/>
      <c r="D38" s="186"/>
      <c r="E38" s="186"/>
      <c r="F38" s="186"/>
      <c r="G38" s="187"/>
    </row>
    <row r="39" spans="1:7" x14ac:dyDescent="0.3">
      <c r="A39" s="186"/>
      <c r="B39" s="186"/>
      <c r="C39" s="186"/>
      <c r="D39" s="186"/>
      <c r="E39" s="186"/>
      <c r="F39" s="186"/>
      <c r="G39" s="187"/>
    </row>
    <row r="40" spans="1:7" x14ac:dyDescent="0.3">
      <c r="A40" s="186"/>
      <c r="B40" s="186"/>
      <c r="C40" s="186"/>
      <c r="D40" s="186"/>
      <c r="E40" s="186"/>
      <c r="F40" s="186"/>
      <c r="G40" s="187"/>
    </row>
    <row r="41" spans="1:7" x14ac:dyDescent="0.3">
      <c r="A41" s="186"/>
      <c r="B41" s="186"/>
      <c r="C41" s="186"/>
      <c r="D41" s="186"/>
      <c r="E41" s="186"/>
      <c r="F41" s="186"/>
      <c r="G41" s="187"/>
    </row>
    <row r="42" spans="1:7" x14ac:dyDescent="0.3">
      <c r="A42" s="186"/>
      <c r="B42" s="186"/>
      <c r="C42" s="186"/>
      <c r="D42" s="186"/>
      <c r="E42" s="186"/>
      <c r="F42" s="186"/>
      <c r="G42" s="187"/>
    </row>
    <row r="43" spans="1:7" x14ac:dyDescent="0.3">
      <c r="A43" s="186"/>
      <c r="B43" s="186"/>
      <c r="C43" s="186"/>
      <c r="D43" s="186"/>
      <c r="E43" s="186"/>
      <c r="F43" s="186"/>
      <c r="G43" s="187"/>
    </row>
    <row r="44" spans="1:7" x14ac:dyDescent="0.3">
      <c r="A44" s="186"/>
      <c r="B44" s="186"/>
      <c r="C44" s="186"/>
      <c r="D44" s="186"/>
      <c r="E44" s="186"/>
      <c r="F44" s="186"/>
      <c r="G44" s="187"/>
    </row>
    <row r="45" spans="1:7" x14ac:dyDescent="0.3">
      <c r="A45" s="186"/>
      <c r="B45" s="186"/>
      <c r="C45" s="186"/>
      <c r="D45" s="186"/>
      <c r="E45" s="186"/>
      <c r="F45" s="186"/>
      <c r="G45" s="187"/>
    </row>
    <row r="46" spans="1:7" x14ac:dyDescent="0.3">
      <c r="A46" s="186"/>
      <c r="B46" s="186"/>
      <c r="C46" s="186"/>
      <c r="D46" s="186"/>
      <c r="E46" s="186"/>
      <c r="F46" s="186"/>
      <c r="G46" s="187"/>
    </row>
    <row r="47" spans="1:7" x14ac:dyDescent="0.3">
      <c r="A47" s="186"/>
      <c r="B47" s="186"/>
      <c r="C47" s="186"/>
      <c r="D47" s="186"/>
      <c r="E47" s="186"/>
      <c r="F47" s="186"/>
      <c r="G47" s="187"/>
    </row>
    <row r="48" spans="1:7" x14ac:dyDescent="0.3">
      <c r="A48" s="186"/>
      <c r="B48" s="186"/>
      <c r="C48" s="186"/>
      <c r="D48" s="186"/>
      <c r="E48" s="186"/>
      <c r="F48" s="186"/>
      <c r="G48" s="187"/>
    </row>
    <row r="49" spans="1:7" x14ac:dyDescent="0.3">
      <c r="A49" s="186"/>
      <c r="B49" s="186"/>
      <c r="C49" s="186"/>
      <c r="D49" s="186"/>
      <c r="E49" s="186"/>
      <c r="F49" s="186"/>
      <c r="G49" s="187"/>
    </row>
    <row r="50" spans="1:7" x14ac:dyDescent="0.3">
      <c r="A50" s="186"/>
      <c r="B50" s="186"/>
      <c r="C50" s="186"/>
      <c r="D50" s="186"/>
      <c r="E50" s="186"/>
      <c r="F50" s="186"/>
      <c r="G50" s="187"/>
    </row>
    <row r="51" spans="1:7" x14ac:dyDescent="0.3">
      <c r="A51" s="186"/>
      <c r="B51" s="186"/>
      <c r="C51" s="186"/>
      <c r="D51" s="186"/>
      <c r="E51" s="186"/>
      <c r="F51" s="186"/>
      <c r="G51" s="187"/>
    </row>
    <row r="52" spans="1:7" x14ac:dyDescent="0.3">
      <c r="A52" s="186"/>
      <c r="B52" s="186"/>
      <c r="C52" s="186"/>
      <c r="D52" s="186"/>
      <c r="E52" s="186"/>
      <c r="F52" s="186"/>
      <c r="G52" s="187"/>
    </row>
    <row r="53" spans="1:7" x14ac:dyDescent="0.3">
      <c r="A53" s="186"/>
      <c r="B53" s="186"/>
      <c r="C53" s="186"/>
      <c r="D53" s="186"/>
      <c r="E53" s="186"/>
      <c r="F53" s="186"/>
      <c r="G53" s="187"/>
    </row>
    <row r="54" spans="1:7" x14ac:dyDescent="0.3">
      <c r="A54" s="186"/>
      <c r="B54" s="186"/>
      <c r="C54" s="186"/>
      <c r="D54" s="186"/>
      <c r="E54" s="186"/>
      <c r="F54" s="186"/>
      <c r="G54" s="187"/>
    </row>
    <row r="55" spans="1:7" x14ac:dyDescent="0.3">
      <c r="A55" s="186"/>
      <c r="B55" s="186"/>
      <c r="C55" s="186"/>
      <c r="D55" s="186"/>
      <c r="E55" s="186"/>
      <c r="F55" s="186"/>
      <c r="G55" s="187"/>
    </row>
    <row r="56" spans="1:7" x14ac:dyDescent="0.3">
      <c r="A56" s="186"/>
      <c r="B56" s="186"/>
      <c r="C56" s="186"/>
      <c r="D56" s="186"/>
      <c r="E56" s="186"/>
      <c r="F56" s="186"/>
      <c r="G56" s="187"/>
    </row>
    <row r="57" spans="1:7" x14ac:dyDescent="0.3">
      <c r="A57" s="186"/>
      <c r="B57" s="186"/>
      <c r="C57" s="186"/>
      <c r="D57" s="186"/>
      <c r="E57" s="186"/>
      <c r="F57" s="186"/>
      <c r="G57" s="187"/>
    </row>
    <row r="58" spans="1:7" x14ac:dyDescent="0.3">
      <c r="A58" s="186"/>
      <c r="B58" s="186"/>
      <c r="C58" s="186"/>
      <c r="D58" s="186"/>
      <c r="E58" s="186"/>
      <c r="F58" s="186"/>
      <c r="G58" s="187"/>
    </row>
    <row r="59" spans="1:7" x14ac:dyDescent="0.3">
      <c r="A59" s="186"/>
      <c r="B59" s="186"/>
      <c r="C59" s="186"/>
      <c r="D59" s="186"/>
      <c r="E59" s="186"/>
      <c r="F59" s="186"/>
      <c r="G59" s="187"/>
    </row>
    <row r="60" spans="1:7" x14ac:dyDescent="0.3">
      <c r="A60" s="186"/>
      <c r="B60" s="186"/>
      <c r="C60" s="186"/>
      <c r="D60" s="186"/>
      <c r="E60" s="186"/>
      <c r="F60" s="186"/>
      <c r="G60" s="187"/>
    </row>
    <row r="61" spans="1:7" x14ac:dyDescent="0.3">
      <c r="A61" s="186"/>
      <c r="B61" s="186"/>
      <c r="C61" s="186"/>
      <c r="D61" s="186"/>
      <c r="E61" s="186"/>
      <c r="F61" s="186"/>
      <c r="G61" s="187"/>
    </row>
    <row r="62" spans="1:7" x14ac:dyDescent="0.3">
      <c r="A62" s="186"/>
      <c r="B62" s="186"/>
      <c r="C62" s="186"/>
      <c r="D62" s="186"/>
      <c r="E62" s="186"/>
      <c r="F62" s="186"/>
      <c r="G62" s="187"/>
    </row>
    <row r="63" spans="1:7" x14ac:dyDescent="0.3">
      <c r="A63" s="186"/>
      <c r="B63" s="186"/>
      <c r="C63" s="186"/>
      <c r="D63" s="186"/>
      <c r="E63" s="186"/>
      <c r="F63" s="186"/>
      <c r="G63" s="187"/>
    </row>
    <row r="64" spans="1:7" x14ac:dyDescent="0.3">
      <c r="A64" s="186"/>
      <c r="B64" s="186"/>
      <c r="C64" s="186"/>
      <c r="D64" s="186"/>
      <c r="E64" s="186"/>
      <c r="F64" s="186"/>
      <c r="G64" s="187"/>
    </row>
    <row r="65" spans="1:7" x14ac:dyDescent="0.3">
      <c r="A65" s="186"/>
      <c r="B65" s="186"/>
      <c r="C65" s="186"/>
      <c r="D65" s="186"/>
      <c r="E65" s="186"/>
      <c r="F65" s="186"/>
      <c r="G65" s="187"/>
    </row>
    <row r="66" spans="1:7" x14ac:dyDescent="0.3">
      <c r="A66" s="186"/>
      <c r="B66" s="186"/>
      <c r="C66" s="186"/>
      <c r="D66" s="186"/>
      <c r="E66" s="186"/>
      <c r="F66" s="186"/>
      <c r="G66" s="187"/>
    </row>
    <row r="67" spans="1:7" x14ac:dyDescent="0.3">
      <c r="A67" s="186"/>
      <c r="B67" s="186"/>
      <c r="C67" s="186"/>
      <c r="D67" s="186"/>
      <c r="E67" s="186"/>
      <c r="F67" s="186"/>
      <c r="G67" s="187"/>
    </row>
    <row r="68" spans="1:7" x14ac:dyDescent="0.3">
      <c r="A68" s="186"/>
      <c r="B68" s="186"/>
      <c r="C68" s="186"/>
      <c r="D68" s="186"/>
      <c r="E68" s="186"/>
      <c r="F68" s="186"/>
      <c r="G68" s="18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74008B7F987C14C96D8E4F0CB9C1B92" ma:contentTypeVersion="7" ma:contentTypeDescription="Create a new document." ma:contentTypeScope="" ma:versionID="f8a91e4d60d0e353eebb4779a7ce02ed">
  <xsd:schema xmlns:xsd="http://www.w3.org/2001/XMLSchema" xmlns:xs="http://www.w3.org/2001/XMLSchema" xmlns:p="http://schemas.microsoft.com/office/2006/metadata/properties" xmlns:ns2="e8f18764-95a0-43ac-809f-d7a2d88dc902" targetNamespace="http://schemas.microsoft.com/office/2006/metadata/properties" ma:root="true" ma:fieldsID="e83a5e42afc6c64b367dd9235388d8a3" ns2:_="">
    <xsd:import namespace="e8f18764-95a0-43ac-809f-d7a2d88dc9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18764-95a0-43ac-809f-d7a2d88dc9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5294CC2-E5C5-4EA1-BE72-C0BE2C432C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f18764-95a0-43ac-809f-d7a2d88dc9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4E954B-FA4C-4357-88FF-825754E763ED}">
  <ds:schemaRefs>
    <ds:schemaRef ds:uri="http://schemas.microsoft.com/sharepoint/v3/contenttype/forms"/>
  </ds:schemaRefs>
</ds:datastoreItem>
</file>

<file path=customXml/itemProps3.xml><?xml version="1.0" encoding="utf-8"?>
<ds:datastoreItem xmlns:ds="http://schemas.openxmlformats.org/officeDocument/2006/customXml" ds:itemID="{A7E980EE-D142-4E31-9549-5FBB1603737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Notes</vt:lpstr>
      <vt:lpstr>Caloosahatchee All Projects</vt:lpstr>
      <vt:lpstr>Append Existing</vt:lpstr>
      <vt:lpstr>Load Reductions 2020</vt:lpstr>
      <vt:lpstr>Summary Info</vt:lpstr>
      <vt:lpstr>Future Projects</vt:lpstr>
      <vt:lpstr>Progress Charts</vt:lpstr>
      <vt:lpstr>Project Type Check 031021</vt:lpstr>
      <vt:lpstr>Storymap Table</vt:lpstr>
      <vt:lpstr>'Future Projects'!_FilterDatabase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Tiffany Busby</dc:creator>
  <cp:lastModifiedBy>Rossiter, Brianna</cp:lastModifiedBy>
  <cp:lastPrinted>2017-02-14T13:49:14Z</cp:lastPrinted>
  <dcterms:created xsi:type="dcterms:W3CDTF">2015-06-10T17:20:25Z</dcterms:created>
  <dcterms:modified xsi:type="dcterms:W3CDTF">2021-04-29T15:10:18Z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0x010100374008B7F987C14C96D8E4F0CB9C1B92</vt:lpwstr>
  </property>
</Properties>
</file>