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ltenburg_G\Desktop\"/>
    </mc:Choice>
  </mc:AlternateContent>
  <xr:revisionPtr revIDLastSave="0" documentId="8_{9D2236E5-2D3A-4608-8BEE-ACB6A4CD948F}" xr6:coauthVersionLast="45" xr6:coauthVersionMax="45" xr10:uidLastSave="{00000000-0000-0000-0000-000000000000}"/>
  <workbookProtection workbookAlgorithmName="SHA-512" workbookHashValue="iT86svkucnpqgf3mDOvzE0mJGhxq9zKFcyvg5JjEEzw7AdyS532W1R1OQoP/tIt2qnarjCxlxx+zGgaMlRukmQ==" workbookSaltValue="moXt4zQVqWDz/JUZFBHNYA==" workbookSpinCount="100000" lockStructure="1"/>
  <bookViews>
    <workbookView xWindow="-120" yWindow="-120" windowWidth="29040" windowHeight="15840" xr2:uid="{0CDB47D5-6597-4F61-9DA3-4B8AE9C61548}"/>
  </bookViews>
  <sheets>
    <sheet name="ARPA"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0" i="3" l="1"/>
  <c r="G50" i="3"/>
  <c r="G47" i="3"/>
  <c r="I2" i="3"/>
  <c r="I3" i="3"/>
  <c r="J3" i="3" s="1"/>
  <c r="I4" i="3"/>
  <c r="J4" i="3" s="1"/>
  <c r="I5" i="3"/>
  <c r="J5" i="3" s="1"/>
  <c r="I6" i="3"/>
  <c r="J6" i="3" s="1"/>
  <c r="I7" i="3"/>
  <c r="J7" i="3" s="1"/>
  <c r="I8" i="3"/>
  <c r="J8" i="3" s="1"/>
  <c r="I9" i="3"/>
  <c r="J9" i="3" s="1"/>
  <c r="I10" i="3"/>
  <c r="J10" i="3" s="1"/>
  <c r="I11" i="3"/>
  <c r="J11" i="3" s="1"/>
  <c r="I12" i="3"/>
  <c r="J12" i="3" s="1"/>
  <c r="I13" i="3"/>
  <c r="J13" i="3" s="1"/>
  <c r="I14" i="3"/>
  <c r="J14" i="3" s="1"/>
  <c r="I15" i="3"/>
  <c r="J15" i="3" s="1"/>
  <c r="I16" i="3"/>
  <c r="J16" i="3" s="1"/>
  <c r="I17" i="3"/>
  <c r="J17" i="3" s="1"/>
  <c r="I18" i="3"/>
  <c r="J18" i="3" s="1"/>
  <c r="I19" i="3"/>
  <c r="J19" i="3" s="1"/>
  <c r="I20" i="3"/>
  <c r="J20" i="3" s="1"/>
  <c r="I21" i="3"/>
  <c r="J21" i="3" s="1"/>
  <c r="I22" i="3"/>
  <c r="J22" i="3" s="1"/>
  <c r="I23" i="3"/>
  <c r="J23" i="3" s="1"/>
  <c r="I24" i="3"/>
  <c r="J24" i="3" s="1"/>
  <c r="I25" i="3"/>
  <c r="J25" i="3" s="1"/>
  <c r="I26" i="3"/>
  <c r="J26" i="3" s="1"/>
  <c r="I27" i="3"/>
  <c r="J27" i="3" s="1"/>
  <c r="I28" i="3"/>
  <c r="J28" i="3" s="1"/>
  <c r="I29" i="3"/>
  <c r="J29" i="3" s="1"/>
  <c r="I30" i="3"/>
  <c r="J30" i="3" s="1"/>
  <c r="I31" i="3"/>
  <c r="J31" i="3" s="1"/>
  <c r="I32" i="3"/>
  <c r="J32" i="3" s="1"/>
  <c r="I33" i="3"/>
  <c r="J33" i="3" s="1"/>
  <c r="I34" i="3"/>
  <c r="J34" i="3" s="1"/>
  <c r="I35" i="3"/>
  <c r="J35" i="3" s="1"/>
  <c r="I36" i="3"/>
  <c r="J36" i="3" s="1"/>
  <c r="I37" i="3"/>
  <c r="J37" i="3" s="1"/>
  <c r="I38" i="3"/>
  <c r="J38" i="3" s="1"/>
  <c r="I39" i="3"/>
  <c r="J39" i="3" s="1"/>
  <c r="I40" i="3"/>
  <c r="J40" i="3" s="1"/>
  <c r="I41" i="3"/>
  <c r="J41" i="3" s="1"/>
  <c r="I42" i="3"/>
  <c r="J42" i="3" s="1"/>
  <c r="I43" i="3"/>
  <c r="J43" i="3" s="1"/>
  <c r="I44" i="3"/>
  <c r="J44" i="3" s="1"/>
  <c r="I45" i="3"/>
  <c r="J45" i="3" s="1"/>
  <c r="I46" i="3"/>
  <c r="J46" i="3" s="1"/>
  <c r="I47" i="3" l="1"/>
  <c r="J47" i="3" s="1"/>
  <c r="J2"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12743B7-B960-4C20-9D03-28669C8D5907}"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<sst xmlns="http://schemas.openxmlformats.org/spreadsheetml/2006/main" count="237" uniqueCount="203">
  <si>
    <t>Project Score</t>
  </si>
  <si>
    <t>Project Sponsor</t>
  </si>
  <si>
    <t>County</t>
  </si>
  <si>
    <t xml:space="preserve"> Project Title</t>
  </si>
  <si>
    <t>Project Location</t>
  </si>
  <si>
    <t>Project Summary</t>
  </si>
  <si>
    <t xml:space="preserve">Cost share </t>
  </si>
  <si>
    <t xml:space="preserve">South Florida Water Management District </t>
  </si>
  <si>
    <t>Statewide</t>
  </si>
  <si>
    <t>S-27 Coastal Structure Resiliency</t>
  </si>
  <si>
    <t>Biscayne Bay</t>
  </si>
  <si>
    <t>The project consists of hardening S-27 Coastal Structure and installing forward pump to increase its resiliency and maintain Little River Basin discharge levels while sea levels rise.</t>
  </si>
  <si>
    <t>South Florida Water Management District</t>
  </si>
  <si>
    <t>Polk</t>
  </si>
  <si>
    <t xml:space="preserve">Statewide </t>
  </si>
  <si>
    <t>South Miami-Dade Curtain Wall</t>
  </si>
  <si>
    <t>Homestead, Miami-Dade County</t>
  </si>
  <si>
    <t>The project aims to incrementally build a curtain wall that will increase District's ability to manage water levels in Water Conservation Area 3A in Everglades National Park (ENP).  The curtain wall is a seepage barrier that helps to limit water flow within porous aquifers.</t>
  </si>
  <si>
    <t>Polk County Parks &amp; Natural Resources</t>
  </si>
  <si>
    <t>Restoring Historic Wetlands to Provide Resiliency and Minimize Flood Risk in the Peace Creek Canal Basin</t>
  </si>
  <si>
    <t>Peace Creek Canal, Polk County</t>
  </si>
  <si>
    <t xml:space="preserve">Wetland restoration improvements to address flooding issues that cause down stream flooding in a rapidly urbanizing basin. </t>
  </si>
  <si>
    <t>Miami-Dade</t>
  </si>
  <si>
    <t>City of Hollywood</t>
  </si>
  <si>
    <t>Broward</t>
  </si>
  <si>
    <t>Tidal Flooding Mitigation and Shoreline Protection</t>
  </si>
  <si>
    <t>Hollywood Lakes area, City of Hollywood</t>
  </si>
  <si>
    <t>City of Miami Beach</t>
  </si>
  <si>
    <t>Miami Beach, Miami-Dade County</t>
  </si>
  <si>
    <t>Miami Shores Village</t>
  </si>
  <si>
    <t>Miami Dade</t>
  </si>
  <si>
    <t>Miami Shores Village, Miami-Dade County</t>
  </si>
  <si>
    <t>Town of Lake Park</t>
  </si>
  <si>
    <t>Palm Beach</t>
  </si>
  <si>
    <t>Storm Water Master Plan 5% Roadway Bioswales Program -- 2nd Street Project</t>
  </si>
  <si>
    <t>Lake Park, Palm Beach County</t>
  </si>
  <si>
    <t xml:space="preserve">Strategic roadside bioswale placement in a flood prone area; green infrastructure, low impact development method will help to meet the Towns impervious surface goals. </t>
  </si>
  <si>
    <t>City of St. Augustine</t>
  </si>
  <si>
    <t>St Johns</t>
  </si>
  <si>
    <t>City Wide Tidal Backflow Prevention Improvements</t>
  </si>
  <si>
    <t>City of St. Augustine, St. Johns County</t>
  </si>
  <si>
    <t xml:space="preserve"> Project to retrofit the remaining 58 city outfalls and 30 FDOT outfalls (total 88). Phased over 10 years. 45 outfall retrofits and improvements have already been made. Improvements include: one way tide check valves to address nuisance flooding. </t>
  </si>
  <si>
    <t>A1A Pump Stations</t>
  </si>
  <si>
    <t>Hollywood, Broward County</t>
  </si>
  <si>
    <t>Town of Sewall's Point</t>
  </si>
  <si>
    <t>Martin</t>
  </si>
  <si>
    <t>South Sewall's Point Road Phase 3</t>
  </si>
  <si>
    <t>Sewall's Point, Martin County</t>
  </si>
  <si>
    <t>The project will elevate the only evacuation road to directly address flood control and sea-level rise and strategically reduce nutrient load by water quality treatment.</t>
  </si>
  <si>
    <t>City of Treasure Island</t>
  </si>
  <si>
    <t>Pinellas</t>
  </si>
  <si>
    <t>Treasure Island, Pinellas County</t>
  </si>
  <si>
    <t>Ft. Lauderdale Airport area, Broward County</t>
  </si>
  <si>
    <t>Miami-Dade County Department of Cultural Affairs</t>
  </si>
  <si>
    <t>Flood Resiliency for North Side of Vizcaya Museum and Gardens</t>
  </si>
  <si>
    <t>Vizcaya Museum, Miami</t>
  </si>
  <si>
    <t xml:space="preserve">City of Key Colony Beach </t>
  </si>
  <si>
    <t>Monroe</t>
  </si>
  <si>
    <t>Public Safety Facility Hardening</t>
  </si>
  <si>
    <t>Key Colony Beach, Monroe County</t>
  </si>
  <si>
    <t>The City of Marathon is faced with the immediate threat of rising sea levels. The impacts of recent storms and data from vulnerability studies have led the City to critically reconstruct the facility that is home to the Police Department, EOC, and City offices. The new facility will reduce the impacts of flooding by elevating the structure above the needed 7.9 BFE. Further resiliency objectives of vulnerability assessment and mitigation plans. Funding is being requested for the hardening activities, primarily the elevation of the structure. $6,714,292 is the estimated total project cost. The project will not be phased.</t>
  </si>
  <si>
    <t>Miami-Dade County</t>
  </si>
  <si>
    <t>City of Miami</t>
  </si>
  <si>
    <t xml:space="preserve">Broward </t>
  </si>
  <si>
    <t xml:space="preserve">G-6A Pump Station Resiliency </t>
  </si>
  <si>
    <t>Water Conservation Area 1, Palm Beach County</t>
  </si>
  <si>
    <t>G-6A Pump Station is needed to continue to provide flood protection and to reduce the impacts of increased rainfall and flooding and by serving as a redundant feature.</t>
  </si>
  <si>
    <t>Bayfront Park Seawall Elevation Project</t>
  </si>
  <si>
    <t>Elevation of an existing seawall to protect surrounding residential properties; implement nature based flood control measures to complement it.</t>
  </si>
  <si>
    <t>City of Sunrise</t>
  </si>
  <si>
    <t>City of Sunrise, Palm Beach County</t>
  </si>
  <si>
    <t>Replacement of the existing storage and equipment building, which currently has aging components and is flood prone.  Plans include elevating the building, meeting the Florida Building Code standards, adhering to required flood elevations, wind proof windows and roof.</t>
  </si>
  <si>
    <t xml:space="preserve">Miami-Dade </t>
  </si>
  <si>
    <t>Cutler Pit Land Acquisition Project: Nature-based Adaptation Approach to Reduce Risks of Storm Surge and Sea Level Rise</t>
  </si>
  <si>
    <t xml:space="preserve">Purchase land between Biscayne Bay and developed areas to provide buffer from storm surge and flooding, reduce further development and enhance species habitat. </t>
  </si>
  <si>
    <t>Design &amp; Construction Brickell Bay Drive (BBD) Seawall &amp;Flood Improvements SE 14 St to SE 15 Rd along Biscayne Bay</t>
  </si>
  <si>
    <t>Eastern Miami</t>
  </si>
  <si>
    <t>St. Johns</t>
  </si>
  <si>
    <t>Lake Maria Sanchez Flood Mitigation and Drainage Improvements Project</t>
  </si>
  <si>
    <t>Lake Maria, St. Augustine</t>
  </si>
  <si>
    <t>Upgrades to existing stormwater infrastructure, installation of a stormwater pump station, construction of a flood wall and installation of tidal check valves to benefit approximately 200 acres in the city.</t>
  </si>
  <si>
    <t xml:space="preserve">Pinellas County </t>
  </si>
  <si>
    <t xml:space="preserve">Philippe Park Living Shoreline Oyster Reef Wave Attenuation </t>
  </si>
  <si>
    <t>Phillipe Park, Pinellas County</t>
  </si>
  <si>
    <t>St. Johns River Water Management District</t>
  </si>
  <si>
    <t>Putnam</t>
  </si>
  <si>
    <t>Manatee County</t>
  </si>
  <si>
    <t>Manatee</t>
  </si>
  <si>
    <t>Improving Resilience in Manatee County</t>
  </si>
  <si>
    <t>Bradenton, Manatee County</t>
  </si>
  <si>
    <t xml:space="preserve">City of St. Augustine </t>
  </si>
  <si>
    <t xml:space="preserve">St. Johns </t>
  </si>
  <si>
    <t>South Whitney West King Street Flood Mitigation Project</t>
  </si>
  <si>
    <t>St. Augustine, St. Johns County</t>
  </si>
  <si>
    <t>Construction project to raise the existing road above base flood elevation, improve the drainage system and increase its's size.  Aim is to reduce flooding on a series of roads which serve as an evacuation route.</t>
  </si>
  <si>
    <t xml:space="preserve">Santa Rosa County </t>
  </si>
  <si>
    <t>Santa Rosa</t>
  </si>
  <si>
    <t xml:space="preserve">Floridatown Park Living Shoreline Implementation Project </t>
  </si>
  <si>
    <t>Pace, Santa Rosa County</t>
  </si>
  <si>
    <t>Treasure Bay Living Shoreline and Resiliency Project</t>
  </si>
  <si>
    <t>Design, public outreach, and construction of a seawall, living shoreline and resiliency berm, restoration of stormwater ponds.</t>
  </si>
  <si>
    <t>Countywide, Miami-Dade County</t>
  </si>
  <si>
    <t>Village of El Portal</t>
  </si>
  <si>
    <t>El Jardin Storm Water Improvements</t>
  </si>
  <si>
    <t>El Portal, Miami-Dade County</t>
  </si>
  <si>
    <t>Installation of stormwater collection systems, hydrodynamic stormwater treatment device and a backflow prevention device to improve drainage system.</t>
  </si>
  <si>
    <t xml:space="preserve">City of Fernandina Beach </t>
  </si>
  <si>
    <t>Nassau</t>
  </si>
  <si>
    <t xml:space="preserve">Historic Fernandina Beach Area 6 Drainage Project </t>
  </si>
  <si>
    <t>Historic section, City of Fernandina Beach</t>
  </si>
  <si>
    <t>Upgrading drainage infrastructure increasing capacity of stormwater system in a flood-prone area.</t>
  </si>
  <si>
    <t>town of Bay Harbor Islands</t>
  </si>
  <si>
    <t>Seawall Replacement - 9600 West Bay Harbor Drive</t>
  </si>
  <si>
    <t>Bay Harbor Islands, Miami-Dade County</t>
  </si>
  <si>
    <t xml:space="preserve">St. Johns River Water Management District </t>
  </si>
  <si>
    <t>Sebastian River Improvement District (SRID) Treatment and Storage</t>
  </si>
  <si>
    <t>Sebastian, Brevard County</t>
  </si>
  <si>
    <t>Water Reset: Increasing the Resiliency of Drinking Water Infrastructure to Flooding and Storms</t>
  </si>
  <si>
    <t>This project addresses flooding and sea level rise at regionally critical drinking water facilities including the 3 drinking water plants serving more than 2.3 million residents by producing 300+ million gallons per day. Other critical components of the water system include wellfields, pump stations, and smaller remote water plants.  Proposed projects have been prioritized based on likelihood and consequences of failure. The continuity of drinking water service is essential and life-sustaining.</t>
  </si>
  <si>
    <t>Little River Neighborhood, Miami</t>
  </si>
  <si>
    <t>Pinellas County Utilities</t>
  </si>
  <si>
    <t>Mobile Home Park Wastewater Collection System Improvements</t>
  </si>
  <si>
    <t>Countywide, Pinellas County</t>
  </si>
  <si>
    <t>North Beach Town Center</t>
  </si>
  <si>
    <t>North Miami Beach</t>
  </si>
  <si>
    <t>As part of the North Beach Master Plan includes raising emergency roads to reduce tidal flooding, upsize the gravity collection system, pump station, outfalls, improve water quality with a stormwater treatment system, and upgrade failing water/sewer mains. 1) Address current flooding, avoiding at least 30 tidal events yearly and 600 by 2040 (NOAA), 2) Increase from a low-functioning stormwater system to a 10-year storm LOS, for 95% of storms that cause flooding, 3) Integrate green infrastructure and improve water quality before stormwater is discharged to Biscayne Bay, 4) Reduce water/sewer infiltration &amp; prevent water main breaks and sewer overflows. 5) Stimulate development for the 7 approved properties meeting high elevation standards. The $10 million request is for Phase 1 design and permitting which is scheduled to begin in Oct 2022.  Phase 2 construction is expected to begin Dec 2024. The planning level estimate of Phase 1 and 2 is expected to be $125 million.</t>
  </si>
  <si>
    <t>Bal Harbour Village</t>
  </si>
  <si>
    <t>Bal Harbour Village Stormwater Pump Station Upgrades- Design and Construction</t>
  </si>
  <si>
    <t>Design and construction for upgrades to different portions of the Bal Harbor stormwater system. These include specific mechanical, structural, electrical, and design improvement to the system in response to an evaluation of vulnerabilities to the system that was performed in 2020.</t>
  </si>
  <si>
    <t>Groundwater Monitoring Network for Sea Level Rise Impacts</t>
  </si>
  <si>
    <t xml:space="preserve">Install a groundwater monitoring network to accurately measure rates of change in current ground water levels to predict additional impacts for sea level rise. This will also include analysis and monitoring of nutrients (nitrate and/or nitrite) to better determine water quality impacts with sea level rise. </t>
  </si>
  <si>
    <t xml:space="preserve">Installation of a flood barrier and a new roof to protect the regional library which is a critical asset that serves as a disaster recovery center and is prone to damage from increased storms and flooding.  </t>
  </si>
  <si>
    <t xml:space="preserve">Miami Dade </t>
  </si>
  <si>
    <t>Miami Beach Dune Enhancements</t>
  </si>
  <si>
    <t>Broward County Parks and Recreation</t>
  </si>
  <si>
    <t>Hardening of Seawalls of Intracoastal at Hollywood North Beach</t>
  </si>
  <si>
    <t xml:space="preserve">Project will harden the seawalls along the intracoastal waterway to prevent flooding of the A1A corridor which is a regional emergency evac route. (4,300 ft of shoreline). </t>
  </si>
  <si>
    <t>Miami-Dade Public Library System</t>
  </si>
  <si>
    <t xml:space="preserve">Miami Beach Regional Library Resilience Grant </t>
  </si>
  <si>
    <t>Inlet Drive Shoreline Resiliency</t>
  </si>
  <si>
    <t>Combination of structural and non-structural based solutions (living shoreline enhancement, thin layer placement of dredged material etc.) to elevate and protect a section of shoreline that is subject to coastal erosion, increasing flood protection for a critical residential road in the North Davis Shores neighborhood. Upgrade the existing storm infrastructure and installation of a tide check valve. Design, permitting and construction to address coastal erosion, storm surge and sea level rise. Elevation of existing shoreline top of bank to 7.0 feet NAVD88 to provide an additional 2 feet of surge and sea level rise protection. The City has committed some design dollars to help continue the project development, design and permitting.  The City is seeking the remaining design and construction funding for the project. Year 1: $40,000; Year 2: $271,900; Year 3: $271,900</t>
  </si>
  <si>
    <t xml:space="preserve">Walton County Board of County Commissioners </t>
  </si>
  <si>
    <t>Walton</t>
  </si>
  <si>
    <t>Construction of a regional stormwater management system within the Choctawhatchee Bay watershed in Santa Rosa Beach, Florida</t>
  </si>
  <si>
    <t>Santa Rosa Beach, Walton County</t>
  </si>
  <si>
    <t>Village of Wellington</t>
  </si>
  <si>
    <t>Environmental Preserve at Marjorie Stoneman Douglas Habitat</t>
  </si>
  <si>
    <t>City of Wellington</t>
  </si>
  <si>
    <t>Wakulla County Board of County Commissioners</t>
  </si>
  <si>
    <t>Wakulla</t>
  </si>
  <si>
    <t>Wakulla County Coastal Evacuation Route Improvement</t>
  </si>
  <si>
    <t>Coastal Wakulla County</t>
  </si>
  <si>
    <t xml:space="preserve">Putnam </t>
  </si>
  <si>
    <t>Titusville Causeway Multitrophic Restoration and Living Shoreline Resiliency Action Project</t>
  </si>
  <si>
    <t>Titusville, Brevard County</t>
  </si>
  <si>
    <t>City of Gulfport</t>
  </si>
  <si>
    <t>Gulfport Marina Living Shoreline Project - Phase I</t>
  </si>
  <si>
    <t>Gulfport, Pinellas County</t>
  </si>
  <si>
    <t>City of Dania Beach</t>
  </si>
  <si>
    <t xml:space="preserve">Broward County Aviation Department </t>
  </si>
  <si>
    <t xml:space="preserve">FLL Ravenwood System Interconnection </t>
  </si>
  <si>
    <t>Improvements and upgrade to the stormwater management system at the FLL North System to mitigate major flooding during storm events which can cause the airfield to shutdown. The outcome of this project will be: 1) reduction in peak flood stages 2) reduction in flood duration 3) increased water quality treatment volume 4) maintain a constant discharge capacity via stormwater outfalls during elevated tailwater conditions due to projected sea level rise 5) reduced possibility of airport shutdowns due to airfield flooding during future significant storm events. Multi-year funding breakdown: 2022 (Design phase):$1,172,451.50; 2023-2024 (Construction phase):$4,156,873.50</t>
  </si>
  <si>
    <t>Town of Golden Beach</t>
  </si>
  <si>
    <t xml:space="preserve">Pump Station at Tweddle Park </t>
  </si>
  <si>
    <t>Tweddle Park, Town of Golden Beach, Miami-Dade County</t>
  </si>
  <si>
    <t>Peace River Manasota Regional Water Supply Authority</t>
  </si>
  <si>
    <t>DeSoto</t>
  </si>
  <si>
    <t>Peace River Regional Reservoir No. 3 (PR3) Project - Preliminary Engineering</t>
  </si>
  <si>
    <t>Southwest DeSoto County</t>
  </si>
  <si>
    <t>Miami Dade County, RER-DERM</t>
  </si>
  <si>
    <t>Little River Basin Phase 2 Improvements to Raise Canal Banks Elevations to Enhance Storage to Meet2060 Sea Level Rise</t>
  </si>
  <si>
    <t>Southeast Drainage Project</t>
  </si>
  <si>
    <t>Central Dania Beach, Broward County</t>
  </si>
  <si>
    <t xml:space="preserve">City of Anna Maria </t>
  </si>
  <si>
    <t xml:space="preserve">City of Anna Maria City Hall Hardening Project </t>
  </si>
  <si>
    <t>Anna Maria Island, Pinellas County</t>
  </si>
  <si>
    <t>Project to add flood barriers, storm windows, storm doors and other hardening improvements to protect the city hall which is a critical asset and houses many of the City's offices.  These improvements will allow the city hall to meet the Florida Building Code criteria.</t>
  </si>
  <si>
    <t>Estimated Total Project Cost (dollars)</t>
  </si>
  <si>
    <t>Expected ARPA Funding Total</t>
  </si>
  <si>
    <t>Local Match Amount</t>
  </si>
  <si>
    <t>Spring tree Wastewater Treatment Plant Storage and Equipment Building</t>
  </si>
  <si>
    <t xml:space="preserve">Installation of oyster reef wave attenuation barriers (WABs - domes/riprap) to reduce erosion and protect the coast of Philippe Park which is a site of a National Historic Landmark (Tocobaga Indian Mount). </t>
  </si>
  <si>
    <t xml:space="preserve">Multi year project using different funding. The construction of a regional stormwater management facility that will address water quality and flood attenuation for a large drainage basin (&gt;1200 acres). </t>
  </si>
  <si>
    <t xml:space="preserve"> Phase II of Phase I project: to make improvements to four canals (C-7 basin). This includes raising top of bank elevations, upgrade culverts, and improve outfalls. Has used 2060 SLR scenarios to design this criteria. Project also includes: survey, soil testing, permitting, construction, and management. </t>
  </si>
  <si>
    <t>implementing stormwater improvements to reduce flooding within the neighborhood by upgrading pump stations, construction of injection wells, additional piping and sail/road improvements.</t>
  </si>
  <si>
    <t>Project Duration (years)</t>
  </si>
  <si>
    <t>Funded ARPA Projects Total</t>
  </si>
  <si>
    <t>Dune enhancements including removing non-native vegetation, planting native species, and re-grading the lower areas to ensure function in storm surge protection.</t>
  </si>
  <si>
    <t>Design, permitting, and construction of a new 9 billion gallon raw water reservoir including new intake structure and pump station to increase SLR resiliency.</t>
  </si>
  <si>
    <t>Repair elements of the stormwater system to reduce flooding at several gov't buildings including their EOC.</t>
  </si>
  <si>
    <t>Phase 1 of a living shoreline that includes oyster bags. Designed but not yet permitted.</t>
  </si>
  <si>
    <t>Titusville Causeway Multitrophic Restoration and Living Shoreline Resiliency Action Project.</t>
  </si>
  <si>
    <t>Repaving of an intersection that is a part of the evacuation route, and currently experiences flooding during storms making it impassable.</t>
  </si>
  <si>
    <t>Develop a new 45 acre stormwater facility as a part of the larger 365 acre preserve to collect, move, and treat stormwater draining through natural features (retention areas).</t>
  </si>
  <si>
    <t>Construction of critical wastewater infrastructure at 15 mobile home parks to reduce impacts from flooding. Design and permitting underway (funded by federal RESTORE Act funding through the utility).</t>
  </si>
  <si>
    <t>Redirecting surface water flows from existing canals into reservoir or stormwater treatment which provides flood mitigation, water storage, and nutrient removal.</t>
  </si>
  <si>
    <t>Design, permitting, and construction to replace a dilapidated seawall owned by the Town.</t>
  </si>
  <si>
    <t>Construction of a living shoreline  with offshore breakwaters, beach renourishment, salt marsh sill, vegetation.</t>
  </si>
  <si>
    <t>Design, permitting, and construction of 3 living shorelines at 3 different parks.</t>
  </si>
  <si>
    <t>Design and construction for seawall replacement and new stormwater piping plus LID drainage elements.</t>
  </si>
  <si>
    <t>Design, permitting, and construction for Increasing seawall height, implementing NNBF for flood control to protect a regional, cultural, and historic asset from flooding.</t>
  </si>
  <si>
    <t>The design and construction of four stormwater pump stations.</t>
  </si>
  <si>
    <t>Design, permitting, and construction of seawalls, revetments, berms, living shoreline to protect and area that includes an evacuation route from current flooding and future SLR. Builds off anticipated FRCP grant R2211.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</si>
</sst>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
  </numFmts>
  <fonts count="5" x14ac:knownFonts="1">
    <font>
      <sz val="11"/>
      <color theme="1"/>
      <name val="Calibri"/>
      <family val="2"/>
      <scheme val="minor"/>
    </font>
    <font>
      <sz val="11"/>
      <color theme="1"/>
      <name val="Calibri"/>
      <family val="2"/>
      <scheme val="minor"/>
    </font>
    <font>
      <sz val="11"/>
      <name val="Calibri"/>
      <family val="2"/>
      <scheme val="minor"/>
    </font>
    <font>
      <b/>
      <sz val="11"/>
      <color theme="1"/>
      <name val="Calibri"/>
      <family val="2"/>
      <scheme val="minor"/>
    </font>
    <font>
      <b/>
      <sz val="12"/>
      <color theme="0"/>
      <name val="Calibri"/>
      <family val="2"/>
      <scheme val="minor"/>
    </font>
  </fonts>
  <fills count="5">
    <fill>
      <patternFill patternType="none"/>
    </fill>
    <fill>
      <patternFill patternType="gray125"/>
    </fill>
    <fill>
      <patternFill patternType="solid">
        <fgColor rgb="FF00B050"/>
        <bgColor indexed="64"/>
      </patternFill>
    </fill>
    <fill>
      <patternFill patternType="solid">
        <fgColor theme="9" tint="0.59999389629810485"/>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6">
    <xf numFmtId="0" fontId="0" fillId="0" borderId="0" xfId="0"/>
    <xf numFmtId="0" fontId="0" fillId="0" borderId="0" xfId="0" applyFill="1"/>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vertical="top"/>
    </xf>
    <xf numFmtId="0" fontId="0" fillId="2" borderId="0" xfId="0" applyFill="1"/>
    <xf numFmtId="0" fontId="0" fillId="3" borderId="2" xfId="0" applyFill="1" applyBorder="1" applyAlignment="1">
      <alignment horizontal="center"/>
    </xf>
    <xf numFmtId="0" fontId="0" fillId="3" borderId="1" xfId="0" applyFill="1" applyBorder="1"/>
    <xf numFmtId="0" fontId="0" fillId="3" borderId="1" xfId="0" applyFill="1" applyBorder="1" applyAlignment="1">
      <alignment wrapText="1"/>
    </xf>
    <xf numFmtId="0" fontId="0" fillId="3" borderId="1" xfId="0" applyFill="1" applyBorder="1" applyAlignment="1">
      <alignment vertical="center" wrapText="1"/>
    </xf>
    <xf numFmtId="165" fontId="0" fillId="3" borderId="1" xfId="0" applyNumberFormat="1" applyFill="1" applyBorder="1"/>
    <xf numFmtId="164" fontId="0" fillId="3" borderId="1" xfId="0" applyNumberFormat="1" applyFill="1" applyBorder="1" applyAlignment="1">
      <alignment horizontal="center"/>
    </xf>
    <xf numFmtId="0" fontId="0" fillId="3" borderId="1" xfId="0" applyFill="1" applyBorder="1" applyAlignment="1">
      <alignment horizontal="center"/>
    </xf>
    <xf numFmtId="164" fontId="0" fillId="3" borderId="1" xfId="2" applyNumberFormat="1" applyFont="1" applyFill="1" applyBorder="1" applyAlignment="1">
      <alignment horizontal="center"/>
    </xf>
    <xf numFmtId="0" fontId="0" fillId="4" borderId="2" xfId="0" applyFill="1" applyBorder="1" applyAlignment="1">
      <alignment horizontal="center"/>
    </xf>
    <xf numFmtId="0" fontId="0" fillId="4" borderId="1" xfId="0" applyFill="1" applyBorder="1"/>
    <xf numFmtId="0" fontId="0" fillId="4" borderId="1" xfId="0" applyFill="1" applyBorder="1" applyAlignment="1">
      <alignment wrapText="1"/>
    </xf>
    <xf numFmtId="165" fontId="3" fillId="4" borderId="1" xfId="0" applyNumberFormat="1" applyFont="1" applyFill="1" applyBorder="1"/>
    <xf numFmtId="0" fontId="3" fillId="4" borderId="1" xfId="0" applyFont="1" applyFill="1" applyBorder="1" applyAlignment="1">
      <alignment horizontal="center"/>
    </xf>
    <xf numFmtId="0" fontId="0" fillId="3" borderId="1" xfId="0" applyFill="1" applyBorder="1" applyAlignment="1">
      <alignment horizontal="center" wrapText="1"/>
    </xf>
    <xf numFmtId="165" fontId="0" fillId="3" borderId="1" xfId="0" applyNumberFormat="1" applyFill="1" applyBorder="1" applyAlignment="1">
      <alignment wrapText="1"/>
    </xf>
    <xf numFmtId="164" fontId="0" fillId="3" borderId="1" xfId="2" applyNumberFormat="1" applyFont="1" applyFill="1" applyBorder="1" applyAlignment="1">
      <alignment horizontal="center" wrapText="1"/>
    </xf>
    <xf numFmtId="44" fontId="0" fillId="0" borderId="0" xfId="1" applyFont="1" applyFill="1" applyAlignment="1">
      <alignment horizontal="center"/>
    </xf>
    <xf numFmtId="165" fontId="0" fillId="3" borderId="1" xfId="1" applyNumberFormat="1" applyFont="1" applyFill="1" applyBorder="1" applyAlignment="1">
      <alignment horizontal="center"/>
    </xf>
    <xf numFmtId="0" fontId="4" fillId="2" borderId="2" xfId="0" applyFont="1" applyFill="1" applyBorder="1" applyAlignment="1">
      <alignment horizontal="center" wrapText="1"/>
    </xf>
    <xf numFmtId="0" fontId="4" fillId="2" borderId="1" xfId="0" applyFont="1" applyFill="1" applyBorder="1" applyAlignment="1">
      <alignment wrapText="1"/>
    </xf>
    <xf numFmtId="0" fontId="4" fillId="2" borderId="1" xfId="0" applyFont="1" applyFill="1" applyBorder="1" applyAlignment="1">
      <alignment horizontal="left" wrapText="1"/>
    </xf>
    <xf numFmtId="3" fontId="4" fillId="2" borderId="1" xfId="0" applyNumberFormat="1" applyFont="1" applyFill="1" applyBorder="1" applyAlignment="1">
      <alignment wrapText="1"/>
    </xf>
    <xf numFmtId="164" fontId="4" fillId="2" borderId="1" xfId="2" applyNumberFormat="1" applyFont="1" applyFill="1" applyBorder="1" applyAlignment="1">
      <alignment horizontal="center" wrapText="1"/>
    </xf>
    <xf numFmtId="44" fontId="4" fillId="2" borderId="1" xfId="1" applyFont="1" applyFill="1" applyBorder="1" applyAlignment="1">
      <alignment horizontal="center" wrapText="1"/>
    </xf>
    <xf numFmtId="165" fontId="4" fillId="2" borderId="1" xfId="2" applyNumberFormat="1" applyFont="1" applyFill="1" applyBorder="1" applyAlignment="1">
      <alignment horizontal="left" wrapText="1"/>
    </xf>
    <xf numFmtId="0" fontId="4" fillId="2" borderId="1" xfId="0" applyFont="1" applyFill="1" applyBorder="1" applyAlignment="1">
      <alignment horizontal="center" wrapText="1"/>
    </xf>
    <xf numFmtId="0" fontId="2" fillId="3" borderId="1" xfId="0" applyFont="1" applyFill="1" applyBorder="1" applyAlignment="1">
      <alignment vertical="center" wrapText="1"/>
    </xf>
    <xf numFmtId="164" fontId="3" fillId="4" borderId="1" xfId="0" applyNumberFormat="1" applyFont="1" applyFill="1" applyBorder="1" applyAlignment="1">
      <alignment horizontal="center"/>
    </xf>
    <xf numFmtId="0" fontId="3" fillId="4" borderId="1" xfId="0" applyFont="1" applyFill="1" applyBorder="1" applyAlignment="1">
      <alignment horizontal="right" vertical="center" wrapText="1"/>
    </xf>
    <xf numFmtId="165" fontId="0" fillId="0" borderId="0" xfId="0" applyNumberFormat="1" applyFill="1"/>
  </cellXfs>
  <cellStyles count="3">
    <cellStyle name="Currency" xfId="1" builtinId="4"/>
    <cellStyle name="Normal" xfId="0" builtinId="0"/>
    <cellStyle name="Percent" xfId="2" builtinId="5"/>
  </cellStyles>
  <dxfs count="16">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quot;$&quot;#,##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165" formatCode="&quot;$&quot;#,##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4" formatCode="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quot;$&quot;#,##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theme="0"/>
        <name val="Calibri"/>
        <family val="2"/>
        <scheme val="minor"/>
      </font>
      <numFmt numFmtId="166" formatCode="_(&quot;$&quot;* #,##0_);_(&quot;$&quot;* \(#,##0\);_(&quot;$&quot;* &quot;-&quot;??_);_(@_)"/>
      <fill>
        <patternFill patternType="solid">
          <fgColor indexed="64"/>
          <bgColor rgb="FF00B050"/>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502912-1384-48C6-B2CC-7B7C43809BE5}" name="Table2" displayName="Table2" ref="A1:K47" totalsRowShown="0" headerRowDxfId="15" dataDxfId="13" headerRowBorderDxfId="14" tableBorderDxfId="12" totalsRowBorderDxfId="11" headerRowCellStyle="Currency">
  <sortState xmlns:xlrd2="http://schemas.microsoft.com/office/spreadsheetml/2017/richdata2" ref="A2:K47">
    <sortCondition descending="1" ref="A1:A47"/>
  </sortState>
  <tableColumns count="11">
    <tableColumn id="1" xr3:uid="{18E506B0-F330-4943-BCD9-336E0519C5E5}" name="Project Score" dataDxfId="10"/>
    <tableColumn id="3" xr3:uid="{DEA1FA40-3A37-4DD7-B29D-975BF2506264}" name="Project Sponsor" dataDxfId="9"/>
    <tableColumn id="4" xr3:uid="{3DB95E28-37B6-451A-B1FE-AF2DAE662F17}" name="County" dataDxfId="8"/>
    <tableColumn id="5" xr3:uid="{6F422DE3-D924-48C6-BFB1-454739B1CD0A}" name=" Project Title" dataDxfId="7"/>
    <tableColumn id="6" xr3:uid="{73179D18-8346-4A5E-BF9A-BCB175A8DE97}" name="Project Location" dataDxfId="6"/>
    <tableColumn id="7" xr3:uid="{94113311-CB6B-4F78-959C-BC271D0E0C3D}" name="Project Summary" dataDxfId="5"/>
    <tableColumn id="8" xr3:uid="{402A1D44-2359-4C02-BE1A-F0B7E5C27F81}" name="Estimated Total Project Cost (dollars)" dataDxfId="4"/>
    <tableColumn id="9" xr3:uid="{9BD4988F-BC48-42E1-AE89-3CD0B715EE72}" name="Cost share " dataDxfId="3"/>
    <tableColumn id="14" xr3:uid="{FBB99469-36DC-4DE3-AD16-360ED77522B4}" name="Local Match Amount" dataDxfId="2" dataCellStyle="Currency">
      <calculatedColumnFormula>Table2[[#This Row],[Estimated Total Project Cost (dollars)]]*Table2[[#This Row],[Cost share ]]</calculatedColumnFormula>
    </tableColumn>
    <tableColumn id="10" xr3:uid="{5D107C33-CCE0-49A2-AE4F-17FF60A7BA60}" name="Expected ARPA Funding Total" dataDxfId="1">
      <calculatedColumnFormula>Table2[[#This Row],[Estimated Total Project Cost (dollars)]]-Table2[[#This Row],[Local Match Amount]]</calculatedColumnFormula>
    </tableColumn>
    <tableColumn id="12" xr3:uid="{F6260D8D-52EC-43A9-A940-064F1CBB1AEF}" name="Project Duration (year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B8559-CB77-4388-AAEE-1A332AB43084}">
  <dimension ref="A1:AO50"/>
  <sheetViews>
    <sheetView tabSelected="1" zoomScale="84" zoomScaleNormal="84" workbookViewId="0">
      <pane ySplit="1" topLeftCell="A44" activePane="bottomLeft" state="frozen"/>
      <selection pane="bottomLeft" activeCell="F2" sqref="F2"/>
    </sheetView>
  </sheetViews>
  <sheetFormatPr defaultColWidth="9.140625" defaultRowHeight="15" x14ac:dyDescent="0.25"/>
  <cols>
    <col min="1" max="1" width="10.85546875" style="2" customWidth="1"/>
    <col min="2" max="2" width="30" style="3" customWidth="1"/>
    <col min="3" max="3" width="13.7109375" style="1" customWidth="1"/>
    <col min="4" max="4" width="41.5703125" style="1" customWidth="1"/>
    <col min="5" max="5" width="23" style="1" customWidth="1"/>
    <col min="6" max="6" width="54.85546875" style="4" customWidth="1"/>
    <col min="7" max="7" width="23.85546875" style="1" customWidth="1"/>
    <col min="8" max="8" width="12.28515625" style="2" customWidth="1"/>
    <col min="9" max="9" width="14.42578125" style="22" customWidth="1"/>
    <col min="10" max="10" width="16.28515625" style="1" customWidth="1"/>
    <col min="11" max="11" width="12.7109375" style="2" customWidth="1"/>
    <col min="12" max="12" width="9.140625" style="1"/>
    <col min="13" max="13" width="12.140625" style="1" bestFit="1" customWidth="1"/>
    <col min="14" max="16384" width="9.140625" style="1"/>
  </cols>
  <sheetData>
    <row r="1" spans="1:41" s="5" customFormat="1" ht="47.25" x14ac:dyDescent="0.25">
      <c r="A1" s="24" t="s">
        <v>0</v>
      </c>
      <c r="B1" s="25" t="s">
        <v>1</v>
      </c>
      <c r="C1" s="26" t="s">
        <v>2</v>
      </c>
      <c r="D1" s="25" t="s">
        <v>3</v>
      </c>
      <c r="E1" s="25" t="s">
        <v>4</v>
      </c>
      <c r="F1" s="25" t="s">
        <v>5</v>
      </c>
      <c r="G1" s="27" t="s">
        <v>177</v>
      </c>
      <c r="H1" s="28" t="s">
        <v>6</v>
      </c>
      <c r="I1" s="29" t="s">
        <v>179</v>
      </c>
      <c r="J1" s="30" t="s">
        <v>178</v>
      </c>
      <c r="K1" s="31" t="s">
        <v>185</v>
      </c>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ht="57.75" customHeight="1" x14ac:dyDescent="0.25">
      <c r="A2" s="6">
        <v>73.349999999999994</v>
      </c>
      <c r="B2" s="8" t="s">
        <v>7</v>
      </c>
      <c r="C2" s="7" t="s">
        <v>8</v>
      </c>
      <c r="D2" s="8" t="s">
        <v>9</v>
      </c>
      <c r="E2" s="8" t="s">
        <v>10</v>
      </c>
      <c r="F2" s="9" t="s">
        <v>11</v>
      </c>
      <c r="G2" s="10">
        <v>100178109</v>
      </c>
      <c r="H2" s="11">
        <v>1.4E-2</v>
      </c>
      <c r="I2" s="23">
        <f>Table2[[#This Row],[Estimated Total Project Cost (dollars)]]*Table2[[#This Row],[Cost share ]]</f>
        <v>1402493.5260000001</v>
      </c>
      <c r="J2" s="10">
        <f>Table2[[#This Row],[Estimated Total Project Cost (dollars)]]-Table2[[#This Row],[Local Match Amount]]</f>
        <v>98775615.474000007</v>
      </c>
      <c r="K2" s="12">
        <v>4</v>
      </c>
    </row>
    <row r="3" spans="1:41" ht="76.5" customHeight="1" x14ac:dyDescent="0.25">
      <c r="A3" s="6">
        <v>64.349999999999994</v>
      </c>
      <c r="B3" s="8" t="s">
        <v>7</v>
      </c>
      <c r="C3" s="7" t="s">
        <v>14</v>
      </c>
      <c r="D3" s="8" t="s">
        <v>15</v>
      </c>
      <c r="E3" s="8" t="s">
        <v>16</v>
      </c>
      <c r="F3" s="9" t="s">
        <v>17</v>
      </c>
      <c r="G3" s="10">
        <v>64029976</v>
      </c>
      <c r="H3" s="11">
        <v>0.3</v>
      </c>
      <c r="I3" s="23">
        <f>Table2[[#This Row],[Estimated Total Project Cost (dollars)]]*Table2[[#This Row],[Cost share ]]</f>
        <v>19208992.800000001</v>
      </c>
      <c r="J3" s="10">
        <f>Table2[[#This Row],[Estimated Total Project Cost (dollars)]]-Table2[[#This Row],[Local Match Amount]]</f>
        <v>44820983.200000003</v>
      </c>
      <c r="K3" s="12">
        <v>4</v>
      </c>
    </row>
    <row r="4" spans="1:41" ht="56.25" customHeight="1" x14ac:dyDescent="0.25">
      <c r="A4" s="6">
        <v>62.35</v>
      </c>
      <c r="B4" s="8" t="s">
        <v>18</v>
      </c>
      <c r="C4" s="7" t="s">
        <v>13</v>
      </c>
      <c r="D4" s="8" t="s">
        <v>19</v>
      </c>
      <c r="E4" s="8" t="s">
        <v>20</v>
      </c>
      <c r="F4" s="9" t="s">
        <v>21</v>
      </c>
      <c r="G4" s="10">
        <v>15000000</v>
      </c>
      <c r="H4" s="11">
        <v>0.53</v>
      </c>
      <c r="I4" s="23">
        <f>Table2[[#This Row],[Estimated Total Project Cost (dollars)]]*Table2[[#This Row],[Cost share ]]</f>
        <v>7950000</v>
      </c>
      <c r="J4" s="10">
        <f>Table2[[#This Row],[Estimated Total Project Cost (dollars)]]-Table2[[#This Row],[Local Match Amount]]</f>
        <v>7050000</v>
      </c>
      <c r="K4" s="12">
        <v>4</v>
      </c>
    </row>
    <row r="5" spans="1:41" ht="77.25" customHeight="1" x14ac:dyDescent="0.25">
      <c r="A5" s="6">
        <v>59.760000000000005</v>
      </c>
      <c r="B5" s="8" t="s">
        <v>23</v>
      </c>
      <c r="C5" s="7" t="s">
        <v>24</v>
      </c>
      <c r="D5" s="8" t="s">
        <v>25</v>
      </c>
      <c r="E5" s="8" t="s">
        <v>26</v>
      </c>
      <c r="F5" s="9" t="s">
        <v>202</v>
      </c>
      <c r="G5" s="10">
        <v>28000000</v>
      </c>
      <c r="H5" s="11">
        <v>0.496</v>
      </c>
      <c r="I5" s="23">
        <f>Table2[[#This Row],[Estimated Total Project Cost (dollars)]]*Table2[[#This Row],[Cost share ]]</f>
        <v>13888000</v>
      </c>
      <c r="J5" s="10">
        <f>Table2[[#This Row],[Estimated Total Project Cost (dollars)]]-Table2[[#This Row],[Local Match Amount]]</f>
        <v>14112000</v>
      </c>
      <c r="K5" s="12">
        <v>4</v>
      </c>
    </row>
    <row r="6" spans="1:41" ht="63" customHeight="1" x14ac:dyDescent="0.25">
      <c r="A6" s="6">
        <v>57.85</v>
      </c>
      <c r="B6" s="8" t="s">
        <v>32</v>
      </c>
      <c r="C6" s="7" t="s">
        <v>33</v>
      </c>
      <c r="D6" s="8" t="s">
        <v>34</v>
      </c>
      <c r="E6" s="8" t="s">
        <v>35</v>
      </c>
      <c r="F6" s="9" t="s">
        <v>36</v>
      </c>
      <c r="G6" s="10">
        <v>553758.54</v>
      </c>
      <c r="H6" s="11">
        <v>0</v>
      </c>
      <c r="I6" s="23">
        <f>Table2[[#This Row],[Estimated Total Project Cost (dollars)]]*Table2[[#This Row],[Cost share ]]</f>
        <v>0</v>
      </c>
      <c r="J6" s="10">
        <f>Table2[[#This Row],[Estimated Total Project Cost (dollars)]]-Table2[[#This Row],[Local Match Amount]]</f>
        <v>553758.54</v>
      </c>
      <c r="K6" s="12">
        <v>2</v>
      </c>
    </row>
    <row r="7" spans="1:41" ht="75" x14ac:dyDescent="0.25">
      <c r="A7" s="6">
        <v>56.91</v>
      </c>
      <c r="B7" s="8" t="s">
        <v>37</v>
      </c>
      <c r="C7" s="7" t="s">
        <v>38</v>
      </c>
      <c r="D7" s="8" t="s">
        <v>39</v>
      </c>
      <c r="E7" s="8" t="s">
        <v>40</v>
      </c>
      <c r="F7" s="9" t="s">
        <v>41</v>
      </c>
      <c r="G7" s="10">
        <v>461282</v>
      </c>
      <c r="H7" s="11">
        <v>0.5</v>
      </c>
      <c r="I7" s="23">
        <f>Table2[[#This Row],[Estimated Total Project Cost (dollars)]]*Table2[[#This Row],[Cost share ]]</f>
        <v>230641</v>
      </c>
      <c r="J7" s="10">
        <f>Table2[[#This Row],[Estimated Total Project Cost (dollars)]]-Table2[[#This Row],[Local Match Amount]]</f>
        <v>230641</v>
      </c>
      <c r="K7" s="12">
        <v>4</v>
      </c>
    </row>
    <row r="8" spans="1:41" ht="60" customHeight="1" x14ac:dyDescent="0.25">
      <c r="A8" s="6">
        <v>56.25</v>
      </c>
      <c r="B8" s="8" t="s">
        <v>23</v>
      </c>
      <c r="C8" s="7" t="s">
        <v>24</v>
      </c>
      <c r="D8" s="8" t="s">
        <v>42</v>
      </c>
      <c r="E8" s="8" t="s">
        <v>43</v>
      </c>
      <c r="F8" s="9" t="s">
        <v>201</v>
      </c>
      <c r="G8" s="10">
        <v>3650000</v>
      </c>
      <c r="H8" s="11">
        <v>0.5</v>
      </c>
      <c r="I8" s="23">
        <f>Table2[[#This Row],[Estimated Total Project Cost (dollars)]]*Table2[[#This Row],[Cost share ]]</f>
        <v>1825000</v>
      </c>
      <c r="J8" s="10">
        <f>Table2[[#This Row],[Estimated Total Project Cost (dollars)]]-Table2[[#This Row],[Local Match Amount]]</f>
        <v>1825000</v>
      </c>
      <c r="K8" s="12">
        <v>3</v>
      </c>
    </row>
    <row r="9" spans="1:41" ht="62.25" customHeight="1" x14ac:dyDescent="0.25">
      <c r="A9" s="6">
        <v>55.85</v>
      </c>
      <c r="B9" s="8" t="s">
        <v>44</v>
      </c>
      <c r="C9" s="7" t="s">
        <v>45</v>
      </c>
      <c r="D9" s="8" t="s">
        <v>46</v>
      </c>
      <c r="E9" s="8" t="s">
        <v>47</v>
      </c>
      <c r="F9" s="9" t="s">
        <v>48</v>
      </c>
      <c r="G9" s="10">
        <v>4370000</v>
      </c>
      <c r="H9" s="11">
        <v>0.2175</v>
      </c>
      <c r="I9" s="23">
        <f>Table2[[#This Row],[Estimated Total Project Cost (dollars)]]*Table2[[#This Row],[Cost share ]]</f>
        <v>950475</v>
      </c>
      <c r="J9" s="10">
        <f>Table2[[#This Row],[Estimated Total Project Cost (dollars)]]-Table2[[#This Row],[Local Match Amount]]</f>
        <v>3419525</v>
      </c>
      <c r="K9" s="12">
        <v>2</v>
      </c>
    </row>
    <row r="10" spans="1:41" ht="57" customHeight="1" x14ac:dyDescent="0.25">
      <c r="A10" s="6">
        <v>52.35</v>
      </c>
      <c r="B10" s="8" t="s">
        <v>53</v>
      </c>
      <c r="C10" s="7" t="s">
        <v>22</v>
      </c>
      <c r="D10" s="8" t="s">
        <v>54</v>
      </c>
      <c r="E10" s="8" t="s">
        <v>55</v>
      </c>
      <c r="F10" s="9" t="s">
        <v>200</v>
      </c>
      <c r="G10" s="10">
        <v>521230</v>
      </c>
      <c r="H10" s="11">
        <v>0.5</v>
      </c>
      <c r="I10" s="23">
        <f>Table2[[#This Row],[Estimated Total Project Cost (dollars)]]*Table2[[#This Row],[Cost share ]]</f>
        <v>260615</v>
      </c>
      <c r="J10" s="10">
        <f>Table2[[#This Row],[Estimated Total Project Cost (dollars)]]-Table2[[#This Row],[Local Match Amount]]</f>
        <v>260615</v>
      </c>
      <c r="K10" s="12">
        <v>4</v>
      </c>
    </row>
    <row r="11" spans="1:41" ht="158.44999999999999" customHeight="1" x14ac:dyDescent="0.25">
      <c r="A11" s="6">
        <v>50.760000000000005</v>
      </c>
      <c r="B11" s="8" t="s">
        <v>56</v>
      </c>
      <c r="C11" s="7" t="s">
        <v>57</v>
      </c>
      <c r="D11" s="8" t="s">
        <v>58</v>
      </c>
      <c r="E11" s="8" t="s">
        <v>59</v>
      </c>
      <c r="F11" s="9" t="s">
        <v>60</v>
      </c>
      <c r="G11" s="10">
        <v>6714292</v>
      </c>
      <c r="H11" s="11">
        <v>0.66</v>
      </c>
      <c r="I11" s="23">
        <f>Table2[[#This Row],[Estimated Total Project Cost (dollars)]]*Table2[[#This Row],[Cost share ]]</f>
        <v>4431432.7200000007</v>
      </c>
      <c r="J11" s="10">
        <f>Table2[[#This Row],[Estimated Total Project Cost (dollars)]]-Table2[[#This Row],[Local Match Amount]]</f>
        <v>2282859.2799999993</v>
      </c>
      <c r="K11" s="12">
        <v>2</v>
      </c>
    </row>
    <row r="12" spans="1:41" ht="45" x14ac:dyDescent="0.25">
      <c r="A12" s="6">
        <v>47.35</v>
      </c>
      <c r="B12" s="8" t="s">
        <v>12</v>
      </c>
      <c r="C12" s="7" t="s">
        <v>8</v>
      </c>
      <c r="D12" s="8" t="s">
        <v>64</v>
      </c>
      <c r="E12" s="8" t="s">
        <v>65</v>
      </c>
      <c r="F12" s="9" t="s">
        <v>66</v>
      </c>
      <c r="G12" s="10">
        <v>59365185</v>
      </c>
      <c r="H12" s="11">
        <v>1.7000000000000001E-2</v>
      </c>
      <c r="I12" s="23">
        <f>Table2[[#This Row],[Estimated Total Project Cost (dollars)]]*Table2[[#This Row],[Cost share ]]</f>
        <v>1009208.145</v>
      </c>
      <c r="J12" s="10">
        <f>Table2[[#This Row],[Estimated Total Project Cost (dollars)]]-Table2[[#This Row],[Local Match Amount]]</f>
        <v>58355976.854999997</v>
      </c>
      <c r="K12" s="12">
        <v>4</v>
      </c>
    </row>
    <row r="13" spans="1:41" ht="46.15" customHeight="1" x14ac:dyDescent="0.25">
      <c r="A13" s="6">
        <v>46.75</v>
      </c>
      <c r="B13" s="8" t="s">
        <v>29</v>
      </c>
      <c r="C13" s="7" t="s">
        <v>30</v>
      </c>
      <c r="D13" s="8" t="s">
        <v>67</v>
      </c>
      <c r="E13" s="8" t="s">
        <v>31</v>
      </c>
      <c r="F13" s="9" t="s">
        <v>68</v>
      </c>
      <c r="G13" s="10">
        <v>2000000</v>
      </c>
      <c r="H13" s="11">
        <v>0.5</v>
      </c>
      <c r="I13" s="23">
        <f>Table2[[#This Row],[Estimated Total Project Cost (dollars)]]*Table2[[#This Row],[Cost share ]]</f>
        <v>1000000</v>
      </c>
      <c r="J13" s="10">
        <f>Table2[[#This Row],[Estimated Total Project Cost (dollars)]]-Table2[[#This Row],[Local Match Amount]]</f>
        <v>1000000</v>
      </c>
      <c r="K13" s="12">
        <v>3</v>
      </c>
    </row>
    <row r="14" spans="1:41" ht="75" x14ac:dyDescent="0.25">
      <c r="A14" s="6">
        <v>46.6</v>
      </c>
      <c r="B14" s="8" t="s">
        <v>69</v>
      </c>
      <c r="C14" s="7" t="s">
        <v>24</v>
      </c>
      <c r="D14" s="8" t="s">
        <v>180</v>
      </c>
      <c r="E14" s="8" t="s">
        <v>70</v>
      </c>
      <c r="F14" s="9" t="s">
        <v>71</v>
      </c>
      <c r="G14" s="10">
        <v>1310000</v>
      </c>
      <c r="H14" s="11">
        <v>0.5</v>
      </c>
      <c r="I14" s="23">
        <f>Table2[[#This Row],[Estimated Total Project Cost (dollars)]]*Table2[[#This Row],[Cost share ]]</f>
        <v>655000</v>
      </c>
      <c r="J14" s="10">
        <f>Table2[[#This Row],[Estimated Total Project Cost (dollars)]]-Table2[[#This Row],[Local Match Amount]]</f>
        <v>655000</v>
      </c>
      <c r="K14" s="12">
        <v>4</v>
      </c>
    </row>
    <row r="15" spans="1:41" ht="45" x14ac:dyDescent="0.25">
      <c r="A15" s="6">
        <v>45.75</v>
      </c>
      <c r="B15" s="8" t="s">
        <v>61</v>
      </c>
      <c r="C15" s="7" t="s">
        <v>72</v>
      </c>
      <c r="D15" s="8" t="s">
        <v>73</v>
      </c>
      <c r="E15" s="8" t="s">
        <v>16</v>
      </c>
      <c r="F15" s="9" t="s">
        <v>74</v>
      </c>
      <c r="G15" s="10">
        <v>600000</v>
      </c>
      <c r="H15" s="11">
        <v>0.5</v>
      </c>
      <c r="I15" s="23">
        <f>Table2[[#This Row],[Estimated Total Project Cost (dollars)]]*Table2[[#This Row],[Cost share ]]</f>
        <v>300000</v>
      </c>
      <c r="J15" s="10">
        <f>Table2[[#This Row],[Estimated Total Project Cost (dollars)]]-Table2[[#This Row],[Local Match Amount]]</f>
        <v>300000</v>
      </c>
      <c r="K15" s="12">
        <v>2</v>
      </c>
    </row>
    <row r="16" spans="1:41" ht="45" x14ac:dyDescent="0.25">
      <c r="A16" s="6">
        <v>44.85</v>
      </c>
      <c r="B16" s="8" t="s">
        <v>62</v>
      </c>
      <c r="C16" s="7" t="s">
        <v>72</v>
      </c>
      <c r="D16" s="8" t="s">
        <v>75</v>
      </c>
      <c r="E16" s="8" t="s">
        <v>76</v>
      </c>
      <c r="F16" s="9" t="s">
        <v>199</v>
      </c>
      <c r="G16" s="10">
        <v>27255000</v>
      </c>
      <c r="H16" s="11">
        <v>0.37</v>
      </c>
      <c r="I16" s="23">
        <f>Table2[[#This Row],[Estimated Total Project Cost (dollars)]]*Table2[[#This Row],[Cost share ]]</f>
        <v>10084350</v>
      </c>
      <c r="J16" s="10">
        <f>Table2[[#This Row],[Estimated Total Project Cost (dollars)]]-Table2[[#This Row],[Local Match Amount]]</f>
        <v>17170650</v>
      </c>
      <c r="K16" s="12">
        <v>4</v>
      </c>
    </row>
    <row r="17" spans="1:11" ht="60" x14ac:dyDescent="0.25">
      <c r="A17" s="12">
        <v>44.5</v>
      </c>
      <c r="B17" s="8" t="s">
        <v>37</v>
      </c>
      <c r="C17" s="19" t="s">
        <v>77</v>
      </c>
      <c r="D17" s="8" t="s">
        <v>78</v>
      </c>
      <c r="E17" s="8" t="s">
        <v>79</v>
      </c>
      <c r="F17" s="32" t="s">
        <v>80</v>
      </c>
      <c r="G17" s="20">
        <v>29830178</v>
      </c>
      <c r="H17" s="21">
        <v>0.37</v>
      </c>
      <c r="I17" s="23">
        <f>Table2[[#This Row],[Estimated Total Project Cost (dollars)]]*Table2[[#This Row],[Cost share ]]</f>
        <v>11037165.859999999</v>
      </c>
      <c r="J17" s="10">
        <f>Table2[[#This Row],[Estimated Total Project Cost (dollars)]]-Table2[[#This Row],[Local Match Amount]]</f>
        <v>18793012.140000001</v>
      </c>
      <c r="K17" s="12">
        <v>3</v>
      </c>
    </row>
    <row r="18" spans="1:11" ht="65.25" customHeight="1" x14ac:dyDescent="0.25">
      <c r="A18" s="6">
        <v>44.25</v>
      </c>
      <c r="B18" s="8" t="s">
        <v>81</v>
      </c>
      <c r="C18" s="7" t="s">
        <v>50</v>
      </c>
      <c r="D18" s="8" t="s">
        <v>82</v>
      </c>
      <c r="E18" s="8" t="s">
        <v>83</v>
      </c>
      <c r="F18" s="9" t="s">
        <v>181</v>
      </c>
      <c r="G18" s="10">
        <v>323000</v>
      </c>
      <c r="H18" s="11">
        <v>0.6</v>
      </c>
      <c r="I18" s="23">
        <f>Table2[[#This Row],[Estimated Total Project Cost (dollars)]]*Table2[[#This Row],[Cost share ]]</f>
        <v>193800</v>
      </c>
      <c r="J18" s="10">
        <f>Table2[[#This Row],[Estimated Total Project Cost (dollars)]]-Table2[[#This Row],[Local Match Amount]]</f>
        <v>129200</v>
      </c>
      <c r="K18" s="12">
        <v>1</v>
      </c>
    </row>
    <row r="19" spans="1:11" ht="30" x14ac:dyDescent="0.25">
      <c r="A19" s="6">
        <v>43.35</v>
      </c>
      <c r="B19" s="8" t="s">
        <v>86</v>
      </c>
      <c r="C19" s="7" t="s">
        <v>87</v>
      </c>
      <c r="D19" s="8" t="s">
        <v>88</v>
      </c>
      <c r="E19" s="8" t="s">
        <v>89</v>
      </c>
      <c r="F19" s="9" t="s">
        <v>198</v>
      </c>
      <c r="G19" s="10">
        <v>1375000</v>
      </c>
      <c r="H19" s="11">
        <v>0.47199999999999998</v>
      </c>
      <c r="I19" s="23">
        <f>Table2[[#This Row],[Estimated Total Project Cost (dollars)]]*Table2[[#This Row],[Cost share ]]</f>
        <v>649000</v>
      </c>
      <c r="J19" s="10">
        <f>Table2[[#This Row],[Estimated Total Project Cost (dollars)]]-Table2[[#This Row],[Local Match Amount]]</f>
        <v>726000</v>
      </c>
      <c r="K19" s="12">
        <v>2</v>
      </c>
    </row>
    <row r="20" spans="1:11" ht="60" x14ac:dyDescent="0.25">
      <c r="A20" s="12">
        <v>43</v>
      </c>
      <c r="B20" s="8" t="s">
        <v>90</v>
      </c>
      <c r="C20" s="19" t="s">
        <v>91</v>
      </c>
      <c r="D20" s="8" t="s">
        <v>92</v>
      </c>
      <c r="E20" s="8" t="s">
        <v>93</v>
      </c>
      <c r="F20" s="32" t="s">
        <v>94</v>
      </c>
      <c r="G20" s="20">
        <v>1822600</v>
      </c>
      <c r="H20" s="21">
        <v>0.34</v>
      </c>
      <c r="I20" s="23">
        <f>Table2[[#This Row],[Estimated Total Project Cost (dollars)]]*Table2[[#This Row],[Cost share ]]</f>
        <v>619684</v>
      </c>
      <c r="J20" s="10">
        <f>Table2[[#This Row],[Estimated Total Project Cost (dollars)]]-Table2[[#This Row],[Local Match Amount]]</f>
        <v>1202916</v>
      </c>
      <c r="K20" s="12">
        <v>2</v>
      </c>
    </row>
    <row r="21" spans="1:11" ht="45" x14ac:dyDescent="0.25">
      <c r="A21" s="6">
        <v>42.85</v>
      </c>
      <c r="B21" s="8" t="s">
        <v>95</v>
      </c>
      <c r="C21" s="7" t="s">
        <v>96</v>
      </c>
      <c r="D21" s="8" t="s">
        <v>97</v>
      </c>
      <c r="E21" s="8" t="s">
        <v>98</v>
      </c>
      <c r="F21" s="9" t="s">
        <v>197</v>
      </c>
      <c r="G21" s="10">
        <v>800057</v>
      </c>
      <c r="H21" s="11">
        <v>0</v>
      </c>
      <c r="I21" s="23">
        <f>Table2[[#This Row],[Estimated Total Project Cost (dollars)]]*Table2[[#This Row],[Cost share ]]</f>
        <v>0</v>
      </c>
      <c r="J21" s="10">
        <f>Table2[[#This Row],[Estimated Total Project Cost (dollars)]]-Table2[[#This Row],[Local Match Amount]]</f>
        <v>800057</v>
      </c>
      <c r="K21" s="12">
        <v>1</v>
      </c>
    </row>
    <row r="22" spans="1:11" ht="45" x14ac:dyDescent="0.25">
      <c r="A22" s="6">
        <v>42.66</v>
      </c>
      <c r="B22" s="8" t="s">
        <v>49</v>
      </c>
      <c r="C22" s="7" t="s">
        <v>50</v>
      </c>
      <c r="D22" s="8" t="s">
        <v>99</v>
      </c>
      <c r="E22" s="8" t="s">
        <v>51</v>
      </c>
      <c r="F22" s="9" t="s">
        <v>100</v>
      </c>
      <c r="G22" s="10">
        <v>2300000</v>
      </c>
      <c r="H22" s="11">
        <v>0.35</v>
      </c>
      <c r="I22" s="23">
        <f>Table2[[#This Row],[Estimated Total Project Cost (dollars)]]*Table2[[#This Row],[Cost share ]]</f>
        <v>805000</v>
      </c>
      <c r="J22" s="10">
        <f>Table2[[#This Row],[Estimated Total Project Cost (dollars)]]-Table2[[#This Row],[Local Match Amount]]</f>
        <v>1495000</v>
      </c>
      <c r="K22" s="12">
        <v>2</v>
      </c>
    </row>
    <row r="23" spans="1:11" ht="45" x14ac:dyDescent="0.25">
      <c r="A23" s="6">
        <v>42.1</v>
      </c>
      <c r="B23" s="8" t="s">
        <v>102</v>
      </c>
      <c r="C23" s="7" t="s">
        <v>22</v>
      </c>
      <c r="D23" s="8" t="s">
        <v>103</v>
      </c>
      <c r="E23" s="8" t="s">
        <v>104</v>
      </c>
      <c r="F23" s="9" t="s">
        <v>105</v>
      </c>
      <c r="G23" s="20">
        <v>1748986</v>
      </c>
      <c r="H23" s="21">
        <v>0.47</v>
      </c>
      <c r="I23" s="23">
        <f>Table2[[#This Row],[Estimated Total Project Cost (dollars)]]*Table2[[#This Row],[Cost share ]]</f>
        <v>822023.41999999993</v>
      </c>
      <c r="J23" s="10">
        <f>Table2[[#This Row],[Estimated Total Project Cost (dollars)]]-Table2[[#This Row],[Local Match Amount]]</f>
        <v>926962.58000000007</v>
      </c>
      <c r="K23" s="12">
        <v>3</v>
      </c>
    </row>
    <row r="24" spans="1:11" ht="30" x14ac:dyDescent="0.25">
      <c r="A24" s="6">
        <v>41.85</v>
      </c>
      <c r="B24" s="8" t="s">
        <v>106</v>
      </c>
      <c r="C24" s="7" t="s">
        <v>107</v>
      </c>
      <c r="D24" s="8" t="s">
        <v>108</v>
      </c>
      <c r="E24" s="8" t="s">
        <v>109</v>
      </c>
      <c r="F24" s="9" t="s">
        <v>110</v>
      </c>
      <c r="G24" s="10">
        <v>725000</v>
      </c>
      <c r="H24" s="11">
        <v>0.27500000000000002</v>
      </c>
      <c r="I24" s="23">
        <f>Table2[[#This Row],[Estimated Total Project Cost (dollars)]]*Table2[[#This Row],[Cost share ]]</f>
        <v>199375.00000000003</v>
      </c>
      <c r="J24" s="10">
        <f>Table2[[#This Row],[Estimated Total Project Cost (dollars)]]-Table2[[#This Row],[Local Match Amount]]</f>
        <v>525625</v>
      </c>
      <c r="K24" s="12">
        <v>2</v>
      </c>
    </row>
    <row r="25" spans="1:11" ht="30" x14ac:dyDescent="0.25">
      <c r="A25" s="6">
        <v>41.25</v>
      </c>
      <c r="B25" s="8" t="s">
        <v>111</v>
      </c>
      <c r="C25" s="7" t="s">
        <v>22</v>
      </c>
      <c r="D25" s="8" t="s">
        <v>112</v>
      </c>
      <c r="E25" s="8" t="s">
        <v>113</v>
      </c>
      <c r="F25" s="9" t="s">
        <v>196</v>
      </c>
      <c r="G25" s="10">
        <v>225000</v>
      </c>
      <c r="H25" s="11">
        <v>0</v>
      </c>
      <c r="I25" s="23">
        <f>Table2[[#This Row],[Estimated Total Project Cost (dollars)]]*Table2[[#This Row],[Cost share ]]</f>
        <v>0</v>
      </c>
      <c r="J25" s="10">
        <f>Table2[[#This Row],[Estimated Total Project Cost (dollars)]]-Table2[[#This Row],[Local Match Amount]]</f>
        <v>225000</v>
      </c>
      <c r="K25" s="12">
        <v>2</v>
      </c>
    </row>
    <row r="26" spans="1:11" ht="59.25" customHeight="1" x14ac:dyDescent="0.25">
      <c r="A26" s="6">
        <v>40.700000000000003</v>
      </c>
      <c r="B26" s="8" t="s">
        <v>114</v>
      </c>
      <c r="C26" s="7" t="s">
        <v>85</v>
      </c>
      <c r="D26" s="8" t="s">
        <v>115</v>
      </c>
      <c r="E26" s="8" t="s">
        <v>116</v>
      </c>
      <c r="F26" s="9" t="s">
        <v>195</v>
      </c>
      <c r="G26" s="10">
        <v>38000000</v>
      </c>
      <c r="H26" s="11">
        <v>0.5</v>
      </c>
      <c r="I26" s="23">
        <f>Table2[[#This Row],[Estimated Total Project Cost (dollars)]]*Table2[[#This Row],[Cost share ]]</f>
        <v>19000000</v>
      </c>
      <c r="J26" s="10">
        <f>Table2[[#This Row],[Estimated Total Project Cost (dollars)]]-Table2[[#This Row],[Local Match Amount]]</f>
        <v>19000000</v>
      </c>
      <c r="K26" s="12">
        <v>4</v>
      </c>
    </row>
    <row r="27" spans="1:11" ht="135" x14ac:dyDescent="0.25">
      <c r="A27" s="6">
        <v>40</v>
      </c>
      <c r="B27" s="8" t="s">
        <v>61</v>
      </c>
      <c r="C27" s="7" t="s">
        <v>22</v>
      </c>
      <c r="D27" s="8" t="s">
        <v>117</v>
      </c>
      <c r="E27" s="8" t="s">
        <v>101</v>
      </c>
      <c r="F27" s="9" t="s">
        <v>118</v>
      </c>
      <c r="G27" s="10">
        <v>20250000</v>
      </c>
      <c r="H27" s="11">
        <v>0.25</v>
      </c>
      <c r="I27" s="23">
        <f>Table2[[#This Row],[Estimated Total Project Cost (dollars)]]*Table2[[#This Row],[Cost share ]]</f>
        <v>5062500</v>
      </c>
      <c r="J27" s="10">
        <f>Table2[[#This Row],[Estimated Total Project Cost (dollars)]]-Table2[[#This Row],[Local Match Amount]]</f>
        <v>15187500</v>
      </c>
      <c r="K27" s="12">
        <v>4</v>
      </c>
    </row>
    <row r="28" spans="1:11" ht="60" x14ac:dyDescent="0.25">
      <c r="A28" s="6">
        <v>39.85</v>
      </c>
      <c r="B28" s="8" t="s">
        <v>120</v>
      </c>
      <c r="C28" s="7" t="s">
        <v>50</v>
      </c>
      <c r="D28" s="8" t="s">
        <v>121</v>
      </c>
      <c r="E28" s="8" t="s">
        <v>122</v>
      </c>
      <c r="F28" s="9" t="s">
        <v>194</v>
      </c>
      <c r="G28" s="10">
        <v>25000000</v>
      </c>
      <c r="H28" s="11">
        <v>0</v>
      </c>
      <c r="I28" s="23">
        <f>Table2[[#This Row],[Estimated Total Project Cost (dollars)]]*Table2[[#This Row],[Cost share ]]</f>
        <v>0</v>
      </c>
      <c r="J28" s="10">
        <f>Table2[[#This Row],[Estimated Total Project Cost (dollars)]]-Table2[[#This Row],[Local Match Amount]]</f>
        <v>25000000</v>
      </c>
      <c r="K28" s="12">
        <v>5</v>
      </c>
    </row>
    <row r="29" spans="1:11" ht="285" x14ac:dyDescent="0.25">
      <c r="A29" s="6">
        <v>39</v>
      </c>
      <c r="B29" s="8" t="s">
        <v>27</v>
      </c>
      <c r="C29" s="7" t="s">
        <v>22</v>
      </c>
      <c r="D29" s="8" t="s">
        <v>123</v>
      </c>
      <c r="E29" s="8" t="s">
        <v>124</v>
      </c>
      <c r="F29" s="9" t="s">
        <v>125</v>
      </c>
      <c r="G29" s="10">
        <v>10000000</v>
      </c>
      <c r="H29" s="11">
        <v>0</v>
      </c>
      <c r="I29" s="23">
        <f>Table2[[#This Row],[Estimated Total Project Cost (dollars)]]*Table2[[#This Row],[Cost share ]]</f>
        <v>0</v>
      </c>
      <c r="J29" s="10">
        <f>Table2[[#This Row],[Estimated Total Project Cost (dollars)]]-Table2[[#This Row],[Local Match Amount]]</f>
        <v>10000000</v>
      </c>
      <c r="K29" s="12">
        <v>4</v>
      </c>
    </row>
    <row r="30" spans="1:11" ht="75" x14ac:dyDescent="0.25">
      <c r="A30" s="6">
        <v>38.35</v>
      </c>
      <c r="B30" s="8" t="s">
        <v>126</v>
      </c>
      <c r="C30" s="7" t="s">
        <v>22</v>
      </c>
      <c r="D30" s="8" t="s">
        <v>127</v>
      </c>
      <c r="E30" s="8" t="s">
        <v>126</v>
      </c>
      <c r="F30" s="9" t="s">
        <v>128</v>
      </c>
      <c r="G30" s="10">
        <v>3000000</v>
      </c>
      <c r="H30" s="11">
        <v>0.33329999999999999</v>
      </c>
      <c r="I30" s="23">
        <f>Table2[[#This Row],[Estimated Total Project Cost (dollars)]]*Table2[[#This Row],[Cost share ]]</f>
        <v>999900</v>
      </c>
      <c r="J30" s="10">
        <f>Table2[[#This Row],[Estimated Total Project Cost (dollars)]]-Table2[[#This Row],[Local Match Amount]]</f>
        <v>2000100</v>
      </c>
      <c r="K30" s="12">
        <v>3</v>
      </c>
    </row>
    <row r="31" spans="1:11" ht="90" x14ac:dyDescent="0.25">
      <c r="A31" s="6">
        <v>38.35</v>
      </c>
      <c r="B31" s="8" t="s">
        <v>90</v>
      </c>
      <c r="C31" s="7" t="s">
        <v>77</v>
      </c>
      <c r="D31" s="8" t="s">
        <v>129</v>
      </c>
      <c r="E31" s="8" t="s">
        <v>40</v>
      </c>
      <c r="F31" s="9" t="s">
        <v>130</v>
      </c>
      <c r="G31" s="10">
        <v>217100</v>
      </c>
      <c r="H31" s="11">
        <v>7.0000000000000007E-2</v>
      </c>
      <c r="I31" s="23">
        <f>Table2[[#This Row],[Estimated Total Project Cost (dollars)]]*Table2[[#This Row],[Cost share ]]</f>
        <v>15197.000000000002</v>
      </c>
      <c r="J31" s="10">
        <f>Table2[[#This Row],[Estimated Total Project Cost (dollars)]]-Table2[[#This Row],[Local Match Amount]]</f>
        <v>201903</v>
      </c>
      <c r="K31" s="12">
        <v>3</v>
      </c>
    </row>
    <row r="32" spans="1:11" ht="45" x14ac:dyDescent="0.25">
      <c r="A32" s="6">
        <v>37.5</v>
      </c>
      <c r="B32" s="8" t="s">
        <v>27</v>
      </c>
      <c r="C32" s="7" t="s">
        <v>22</v>
      </c>
      <c r="D32" s="8" t="s">
        <v>133</v>
      </c>
      <c r="E32" s="8" t="s">
        <v>28</v>
      </c>
      <c r="F32" s="9" t="s">
        <v>187</v>
      </c>
      <c r="G32" s="10">
        <v>1300000</v>
      </c>
      <c r="H32" s="11">
        <v>0.23</v>
      </c>
      <c r="I32" s="23">
        <f>Table2[[#This Row],[Estimated Total Project Cost (dollars)]]*Table2[[#This Row],[Cost share ]]</f>
        <v>299000</v>
      </c>
      <c r="J32" s="10">
        <f>Table2[[#This Row],[Estimated Total Project Cost (dollars)]]-Table2[[#This Row],[Local Match Amount]]</f>
        <v>1001000</v>
      </c>
      <c r="K32" s="12">
        <v>2</v>
      </c>
    </row>
    <row r="33" spans="1:11" ht="45" x14ac:dyDescent="0.25">
      <c r="A33" s="6">
        <v>37.35</v>
      </c>
      <c r="B33" s="8" t="s">
        <v>134</v>
      </c>
      <c r="C33" s="7" t="s">
        <v>24</v>
      </c>
      <c r="D33" s="8" t="s">
        <v>135</v>
      </c>
      <c r="E33" s="8" t="s">
        <v>43</v>
      </c>
      <c r="F33" s="9" t="s">
        <v>136</v>
      </c>
      <c r="G33" s="10">
        <v>18000000</v>
      </c>
      <c r="H33" s="11">
        <v>0</v>
      </c>
      <c r="I33" s="23">
        <f>Table2[[#This Row],[Estimated Total Project Cost (dollars)]]*Table2[[#This Row],[Cost share ]]</f>
        <v>0</v>
      </c>
      <c r="J33" s="10">
        <f>Table2[[#This Row],[Estimated Total Project Cost (dollars)]]-Table2[[#This Row],[Local Match Amount]]</f>
        <v>18000000</v>
      </c>
      <c r="K33" s="12">
        <v>4</v>
      </c>
    </row>
    <row r="34" spans="1:11" ht="66.75" customHeight="1" x14ac:dyDescent="0.25">
      <c r="A34" s="6">
        <v>37.25</v>
      </c>
      <c r="B34" s="8" t="s">
        <v>137</v>
      </c>
      <c r="C34" s="7" t="s">
        <v>22</v>
      </c>
      <c r="D34" s="8" t="s">
        <v>138</v>
      </c>
      <c r="E34" s="8" t="s">
        <v>28</v>
      </c>
      <c r="F34" s="9" t="s">
        <v>131</v>
      </c>
      <c r="G34" s="10">
        <v>800000</v>
      </c>
      <c r="H34" s="11">
        <v>0.5</v>
      </c>
      <c r="I34" s="23">
        <f>Table2[[#This Row],[Estimated Total Project Cost (dollars)]]*Table2[[#This Row],[Cost share ]]</f>
        <v>400000</v>
      </c>
      <c r="J34" s="10">
        <f>Table2[[#This Row],[Estimated Total Project Cost (dollars)]]-Table2[[#This Row],[Local Match Amount]]</f>
        <v>400000</v>
      </c>
      <c r="K34" s="12">
        <v>3</v>
      </c>
    </row>
    <row r="35" spans="1:11" ht="196.15" customHeight="1" x14ac:dyDescent="0.25">
      <c r="A35" s="6">
        <v>36.5</v>
      </c>
      <c r="B35" s="8" t="s">
        <v>90</v>
      </c>
      <c r="C35" s="7" t="s">
        <v>91</v>
      </c>
      <c r="D35" s="8" t="s">
        <v>139</v>
      </c>
      <c r="E35" s="8" t="s">
        <v>40</v>
      </c>
      <c r="F35" s="9" t="s">
        <v>140</v>
      </c>
      <c r="G35" s="10">
        <v>711090</v>
      </c>
      <c r="H35" s="11">
        <v>0</v>
      </c>
      <c r="I35" s="23">
        <f>Table2[[#This Row],[Estimated Total Project Cost (dollars)]]*Table2[[#This Row],[Cost share ]]</f>
        <v>0</v>
      </c>
      <c r="J35" s="10">
        <f>Table2[[#This Row],[Estimated Total Project Cost (dollars)]]-Table2[[#This Row],[Local Match Amount]]</f>
        <v>711090</v>
      </c>
      <c r="K35" s="12">
        <v>4</v>
      </c>
    </row>
    <row r="36" spans="1:11" ht="60" x14ac:dyDescent="0.25">
      <c r="A36" s="6">
        <v>36.260000000000005</v>
      </c>
      <c r="B36" s="8" t="s">
        <v>141</v>
      </c>
      <c r="C36" s="7" t="s">
        <v>142</v>
      </c>
      <c r="D36" s="8" t="s">
        <v>143</v>
      </c>
      <c r="E36" s="8" t="s">
        <v>144</v>
      </c>
      <c r="F36" s="9" t="s">
        <v>182</v>
      </c>
      <c r="G36" s="10">
        <v>31000000</v>
      </c>
      <c r="H36" s="11">
        <v>0.52</v>
      </c>
      <c r="I36" s="23">
        <f>Table2[[#This Row],[Estimated Total Project Cost (dollars)]]*Table2[[#This Row],[Cost share ]]</f>
        <v>16120000</v>
      </c>
      <c r="J36" s="10">
        <f>Table2[[#This Row],[Estimated Total Project Cost (dollars)]]-Table2[[#This Row],[Local Match Amount]]</f>
        <v>14880000</v>
      </c>
      <c r="K36" s="12">
        <v>2</v>
      </c>
    </row>
    <row r="37" spans="1:11" ht="60" x14ac:dyDescent="0.25">
      <c r="A37" s="6">
        <v>35.85</v>
      </c>
      <c r="B37" s="8" t="s">
        <v>145</v>
      </c>
      <c r="C37" s="7" t="s">
        <v>33</v>
      </c>
      <c r="D37" s="8" t="s">
        <v>146</v>
      </c>
      <c r="E37" s="8" t="s">
        <v>147</v>
      </c>
      <c r="F37" s="9" t="s">
        <v>193</v>
      </c>
      <c r="G37" s="10">
        <v>3403266</v>
      </c>
      <c r="H37" s="11">
        <v>0.5</v>
      </c>
      <c r="I37" s="23">
        <f>Table2[[#This Row],[Estimated Total Project Cost (dollars)]]*Table2[[#This Row],[Cost share ]]</f>
        <v>1701633</v>
      </c>
      <c r="J37" s="10">
        <f>Table2[[#This Row],[Estimated Total Project Cost (dollars)]]-Table2[[#This Row],[Local Match Amount]]</f>
        <v>1701633</v>
      </c>
      <c r="K37" s="12">
        <v>2</v>
      </c>
    </row>
    <row r="38" spans="1:11" ht="45" x14ac:dyDescent="0.25">
      <c r="A38" s="6">
        <v>35.25</v>
      </c>
      <c r="B38" s="8" t="s">
        <v>148</v>
      </c>
      <c r="C38" s="7" t="s">
        <v>149</v>
      </c>
      <c r="D38" s="8" t="s">
        <v>150</v>
      </c>
      <c r="E38" s="8" t="s">
        <v>151</v>
      </c>
      <c r="F38" s="9" t="s">
        <v>192</v>
      </c>
      <c r="G38" s="10">
        <v>459547</v>
      </c>
      <c r="H38" s="11">
        <v>0</v>
      </c>
      <c r="I38" s="23">
        <f>Table2[[#This Row],[Estimated Total Project Cost (dollars)]]*Table2[[#This Row],[Cost share ]]</f>
        <v>0</v>
      </c>
      <c r="J38" s="10">
        <f>Table2[[#This Row],[Estimated Total Project Cost (dollars)]]-Table2[[#This Row],[Local Match Amount]]</f>
        <v>459547</v>
      </c>
      <c r="K38" s="12">
        <v>2</v>
      </c>
    </row>
    <row r="39" spans="1:11" ht="45" x14ac:dyDescent="0.25">
      <c r="A39" s="6">
        <v>34.35</v>
      </c>
      <c r="B39" s="8" t="s">
        <v>84</v>
      </c>
      <c r="C39" s="7" t="s">
        <v>152</v>
      </c>
      <c r="D39" s="8" t="s">
        <v>153</v>
      </c>
      <c r="E39" s="8" t="s">
        <v>154</v>
      </c>
      <c r="F39" s="9" t="s">
        <v>191</v>
      </c>
      <c r="G39" s="10">
        <v>3280000</v>
      </c>
      <c r="H39" s="11">
        <v>0.5</v>
      </c>
      <c r="I39" s="23">
        <f>Table2[[#This Row],[Estimated Total Project Cost (dollars)]]*Table2[[#This Row],[Cost share ]]</f>
        <v>1640000</v>
      </c>
      <c r="J39" s="10">
        <f>Table2[[#This Row],[Estimated Total Project Cost (dollars)]]-Table2[[#This Row],[Local Match Amount]]</f>
        <v>1640000</v>
      </c>
      <c r="K39" s="12">
        <v>3</v>
      </c>
    </row>
    <row r="40" spans="1:11" ht="39" customHeight="1" x14ac:dyDescent="0.25">
      <c r="A40" s="6">
        <v>33.75</v>
      </c>
      <c r="B40" s="8" t="s">
        <v>155</v>
      </c>
      <c r="C40" s="7" t="s">
        <v>50</v>
      </c>
      <c r="D40" s="8" t="s">
        <v>156</v>
      </c>
      <c r="E40" s="8" t="s">
        <v>157</v>
      </c>
      <c r="F40" s="9" t="s">
        <v>190</v>
      </c>
      <c r="G40" s="10">
        <v>350000</v>
      </c>
      <c r="H40" s="11">
        <v>0.5</v>
      </c>
      <c r="I40" s="23">
        <f>Table2[[#This Row],[Estimated Total Project Cost (dollars)]]*Table2[[#This Row],[Cost share ]]</f>
        <v>175000</v>
      </c>
      <c r="J40" s="10">
        <f>Table2[[#This Row],[Estimated Total Project Cost (dollars)]]-Table2[[#This Row],[Local Match Amount]]</f>
        <v>175000</v>
      </c>
      <c r="K40" s="12">
        <v>2</v>
      </c>
    </row>
    <row r="41" spans="1:11" ht="172.9" customHeight="1" x14ac:dyDescent="0.25">
      <c r="A41" s="6">
        <v>33.35</v>
      </c>
      <c r="B41" s="8" t="s">
        <v>159</v>
      </c>
      <c r="C41" s="12" t="s">
        <v>63</v>
      </c>
      <c r="D41" s="8" t="s">
        <v>160</v>
      </c>
      <c r="E41" s="8" t="s">
        <v>52</v>
      </c>
      <c r="F41" s="9" t="s">
        <v>161</v>
      </c>
      <c r="G41" s="10">
        <v>11406888</v>
      </c>
      <c r="H41" s="13">
        <v>0.5</v>
      </c>
      <c r="I41" s="23">
        <f>Table2[[#This Row],[Estimated Total Project Cost (dollars)]]*Table2[[#This Row],[Cost share ]]</f>
        <v>5703444</v>
      </c>
      <c r="J41" s="10">
        <f>Table2[[#This Row],[Estimated Total Project Cost (dollars)]]-Table2[[#This Row],[Local Match Amount]]</f>
        <v>5703444</v>
      </c>
      <c r="K41" s="12">
        <v>3</v>
      </c>
    </row>
    <row r="42" spans="1:11" ht="45" x14ac:dyDescent="0.25">
      <c r="A42" s="6">
        <v>33.25</v>
      </c>
      <c r="B42" s="8" t="s">
        <v>162</v>
      </c>
      <c r="C42" s="7" t="s">
        <v>132</v>
      </c>
      <c r="D42" s="8" t="s">
        <v>163</v>
      </c>
      <c r="E42" s="8" t="s">
        <v>164</v>
      </c>
      <c r="F42" s="9" t="s">
        <v>189</v>
      </c>
      <c r="G42" s="10">
        <v>1000000</v>
      </c>
      <c r="H42" s="11">
        <v>0.5</v>
      </c>
      <c r="I42" s="23">
        <f>Table2[[#This Row],[Estimated Total Project Cost (dollars)]]*Table2[[#This Row],[Cost share ]]</f>
        <v>500000</v>
      </c>
      <c r="J42" s="10">
        <f>Table2[[#This Row],[Estimated Total Project Cost (dollars)]]-Table2[[#This Row],[Local Match Amount]]</f>
        <v>500000</v>
      </c>
      <c r="K42" s="12">
        <v>2</v>
      </c>
    </row>
    <row r="43" spans="1:11" ht="45" x14ac:dyDescent="0.25">
      <c r="A43" s="6">
        <v>33</v>
      </c>
      <c r="B43" s="8" t="s">
        <v>165</v>
      </c>
      <c r="C43" s="7" t="s">
        <v>166</v>
      </c>
      <c r="D43" s="8" t="s">
        <v>167</v>
      </c>
      <c r="E43" s="8" t="s">
        <v>168</v>
      </c>
      <c r="F43" s="9" t="s">
        <v>188</v>
      </c>
      <c r="G43" s="10">
        <v>7250000</v>
      </c>
      <c r="H43" s="11">
        <v>0.72399999999999998</v>
      </c>
      <c r="I43" s="23">
        <f>Table2[[#This Row],[Estimated Total Project Cost (dollars)]]*Table2[[#This Row],[Cost share ]]</f>
        <v>5249000</v>
      </c>
      <c r="J43" s="10">
        <f>Table2[[#This Row],[Estimated Total Project Cost (dollars)]]-Table2[[#This Row],[Local Match Amount]]</f>
        <v>2001000</v>
      </c>
      <c r="K43" s="12">
        <v>1</v>
      </c>
    </row>
    <row r="44" spans="1:11" ht="90" x14ac:dyDescent="0.25">
      <c r="A44" s="6">
        <v>32.6</v>
      </c>
      <c r="B44" s="8" t="s">
        <v>169</v>
      </c>
      <c r="C44" s="7" t="s">
        <v>30</v>
      </c>
      <c r="D44" s="8" t="s">
        <v>170</v>
      </c>
      <c r="E44" s="8" t="s">
        <v>119</v>
      </c>
      <c r="F44" s="9" t="s">
        <v>183</v>
      </c>
      <c r="G44" s="10">
        <v>10400000</v>
      </c>
      <c r="H44" s="11">
        <v>0.5</v>
      </c>
      <c r="I44" s="23">
        <f>Table2[[#This Row],[Estimated Total Project Cost (dollars)]]*Table2[[#This Row],[Cost share ]]</f>
        <v>5200000</v>
      </c>
      <c r="J44" s="10">
        <f>Table2[[#This Row],[Estimated Total Project Cost (dollars)]]-Table2[[#This Row],[Local Match Amount]]</f>
        <v>5200000</v>
      </c>
      <c r="K44" s="12">
        <v>4</v>
      </c>
    </row>
    <row r="45" spans="1:11" ht="60" x14ac:dyDescent="0.25">
      <c r="A45" s="6">
        <v>32.6</v>
      </c>
      <c r="B45" s="8" t="s">
        <v>158</v>
      </c>
      <c r="C45" s="7" t="s">
        <v>24</v>
      </c>
      <c r="D45" s="8" t="s">
        <v>171</v>
      </c>
      <c r="E45" s="8" t="s">
        <v>172</v>
      </c>
      <c r="F45" s="9" t="s">
        <v>184</v>
      </c>
      <c r="G45" s="10">
        <v>14500000</v>
      </c>
      <c r="H45" s="11">
        <v>0.76</v>
      </c>
      <c r="I45" s="23">
        <f>Table2[[#This Row],[Estimated Total Project Cost (dollars)]]*Table2[[#This Row],[Cost share ]]</f>
        <v>11020000</v>
      </c>
      <c r="J45" s="10">
        <f>Table2[[#This Row],[Estimated Total Project Cost (dollars)]]-Table2[[#This Row],[Local Match Amount]]</f>
        <v>3480000</v>
      </c>
      <c r="K45" s="12">
        <v>2</v>
      </c>
    </row>
    <row r="46" spans="1:11" ht="75" x14ac:dyDescent="0.25">
      <c r="A46" s="6">
        <v>31.85</v>
      </c>
      <c r="B46" s="8" t="s">
        <v>173</v>
      </c>
      <c r="C46" s="7" t="s">
        <v>87</v>
      </c>
      <c r="D46" s="8" t="s">
        <v>174</v>
      </c>
      <c r="E46" s="8" t="s">
        <v>175</v>
      </c>
      <c r="F46" s="9" t="s">
        <v>176</v>
      </c>
      <c r="G46" s="10">
        <v>155465</v>
      </c>
      <c r="H46" s="11">
        <v>0.5</v>
      </c>
      <c r="I46" s="23">
        <f>Table2[[#This Row],[Estimated Total Project Cost (dollars)]]*Table2[[#This Row],[Cost share ]]</f>
        <v>77732.5</v>
      </c>
      <c r="J46" s="10">
        <f>Table2[[#This Row],[Estimated Total Project Cost (dollars)]]-Table2[[#This Row],[Local Match Amount]]</f>
        <v>77732.5</v>
      </c>
      <c r="K46" s="12">
        <v>1</v>
      </c>
    </row>
    <row r="47" spans="1:11" x14ac:dyDescent="0.25">
      <c r="A47" s="14"/>
      <c r="B47" s="16"/>
      <c r="C47" s="15"/>
      <c r="D47" s="16"/>
      <c r="E47" s="16"/>
      <c r="F47" s="34" t="s">
        <v>186</v>
      </c>
      <c r="G47" s="17">
        <f>SUM(G2:G46)</f>
        <v>553642009.53999996</v>
      </c>
      <c r="H47" s="33"/>
      <c r="I47" s="17">
        <f>SUM(I2:I46)</f>
        <v>150685662.97100002</v>
      </c>
      <c r="J47" s="17">
        <f>Table2[[#This Row],[Estimated Total Project Cost (dollars)]]-Table2[[#This Row],[Local Match Amount]]</f>
        <v>402956346.56899995</v>
      </c>
      <c r="K47" s="18"/>
    </row>
    <row r="50" spans="7:10" hidden="1" x14ac:dyDescent="0.25">
      <c r="G50" s="35" t="e">
        <f>SUM(#REF!)</f>
        <v>#REF!</v>
      </c>
      <c r="J50" s="35" t="e">
        <f>SUM(#REF!)</f>
        <v>#REF!</v>
      </c>
    </row>
  </sheetData>
  <sheetProtection algorithmName="SHA-512" hashValue="i7i6cMyn48npgbBJJ5SE8g21l4XJFVv5uxPAOGE18sCccSdEJ+KNwgbzGRJpKnxf8F52Yh9PEtjkrIyXpYv2gA==" saltValue="H5fBAm5d2BupHUFCyEnJXg==" spinCount="100000" sheet="1" objects="1" scenarios="1"/>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D3DEE3B-D347-4133-A925-E2AE9CCEF89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Bouza, Eddy</dc:creator>
  <cp:keywords/>
  <dc:description/>
  <cp:lastModifiedBy>Altenburg, Grace</cp:lastModifiedBy>
  <cp:revision/>
  <dcterms:created xsi:type="dcterms:W3CDTF">2021-10-28T19:10:47Z</dcterms:created>
  <dcterms:modified xsi:type="dcterms:W3CDTF">2021-11-30T16:47:13Z</dcterms:modified>
  <cp:category/>
  <cp:contentStatus/>
</cp:coreProperties>
</file>