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ltenburg_G\Desktop\"/>
    </mc:Choice>
  </mc:AlternateContent>
  <xr:revisionPtr revIDLastSave="0" documentId="8_{4C271B46-7C7A-4665-B2C1-0385DF911C1D}" xr6:coauthVersionLast="45" xr6:coauthVersionMax="45" xr10:uidLastSave="{00000000-0000-0000-0000-000000000000}"/>
  <workbookProtection workbookAlgorithmName="SHA-512" workbookHashValue="LrhkVQPbYXoUBl2Aj102MWEx9bie5FpiVxbHhnClBQUHJcbIKVRpCWmeaej1IUgId8FpfnjfrIr8uw9QKkUNSQ==" workbookSaltValue="OSQRnf6KtumUVxiVijFELg==" workbookSpinCount="100000" lockStructure="1"/>
  <bookViews>
    <workbookView xWindow="-120" yWindow="-120" windowWidth="29040" windowHeight="15840" xr2:uid="{0CDB47D5-6597-4F61-9DA3-4B8AE9C61548}"/>
  </bookViews>
  <sheets>
    <sheet name="Plan"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93" i="4" l="1"/>
  <c r="M29" i="4"/>
  <c r="I3" i="4"/>
  <c r="G3" i="4" s="1"/>
  <c r="I4" i="4"/>
  <c r="G4" i="4" s="1"/>
  <c r="I5" i="4"/>
  <c r="G5" i="4" s="1"/>
  <c r="I6" i="4"/>
  <c r="G6" i="4" s="1"/>
  <c r="I7" i="4"/>
  <c r="G7" i="4" s="1"/>
  <c r="I8" i="4"/>
  <c r="G8" i="4" s="1"/>
  <c r="I10" i="4"/>
  <c r="G10" i="4" s="1"/>
  <c r="I11" i="4"/>
  <c r="G11" i="4" s="1"/>
  <c r="I12" i="4"/>
  <c r="G12" i="4" s="1"/>
  <c r="I13" i="4"/>
  <c r="G13" i="4" s="1"/>
  <c r="I15" i="4"/>
  <c r="G15" i="4" s="1"/>
  <c r="I16" i="4"/>
  <c r="G16" i="4" s="1"/>
  <c r="I17" i="4"/>
  <c r="G17" i="4" s="1"/>
  <c r="I18" i="4"/>
  <c r="G18" i="4" s="1"/>
  <c r="I19" i="4"/>
  <c r="G19" i="4" s="1"/>
  <c r="I20" i="4"/>
  <c r="G20" i="4" s="1"/>
  <c r="I21" i="4"/>
  <c r="G21" i="4" s="1"/>
  <c r="I22" i="4"/>
  <c r="G22" i="4" s="1"/>
  <c r="I24" i="4"/>
  <c r="G24" i="4" s="1"/>
  <c r="I25" i="4"/>
  <c r="G25" i="4" s="1"/>
  <c r="I26" i="4"/>
  <c r="G26" i="4" s="1"/>
  <c r="I27" i="4"/>
  <c r="G27" i="4" s="1"/>
  <c r="I28" i="4"/>
  <c r="G28" i="4" s="1"/>
  <c r="I30" i="4"/>
  <c r="G30" i="4" s="1"/>
  <c r="I31" i="4"/>
  <c r="G31" i="4" s="1"/>
  <c r="I32" i="4"/>
  <c r="G32" i="4" s="1"/>
  <c r="I33" i="4"/>
  <c r="G33" i="4" s="1"/>
  <c r="I35" i="4"/>
  <c r="G35" i="4" s="1"/>
  <c r="I36" i="4"/>
  <c r="G36" i="4" s="1"/>
  <c r="I37" i="4"/>
  <c r="G37" i="4" s="1"/>
  <c r="I38" i="4"/>
  <c r="G38" i="4" s="1"/>
  <c r="I39" i="4"/>
  <c r="G39" i="4" s="1"/>
  <c r="I40" i="4"/>
  <c r="G40" i="4" s="1"/>
  <c r="I41" i="4"/>
  <c r="G41" i="4" s="1"/>
  <c r="I42" i="4"/>
  <c r="G42" i="4" s="1"/>
  <c r="I43" i="4"/>
  <c r="G43" i="4" s="1"/>
  <c r="I44" i="4"/>
  <c r="G44" i="4" s="1"/>
  <c r="I45" i="4"/>
  <c r="G45" i="4" s="1"/>
  <c r="I46" i="4"/>
  <c r="G46" i="4" s="1"/>
  <c r="I47" i="4"/>
  <c r="G47" i="4" s="1"/>
  <c r="I48" i="4"/>
  <c r="G48" i="4" s="1"/>
  <c r="I49" i="4"/>
  <c r="G49" i="4" s="1"/>
  <c r="I50" i="4"/>
  <c r="G50" i="4" s="1"/>
  <c r="I51" i="4"/>
  <c r="G51" i="4" s="1"/>
  <c r="I52" i="4"/>
  <c r="G52" i="4" s="1"/>
  <c r="I53" i="4"/>
  <c r="G53" i="4" s="1"/>
  <c r="I54" i="4"/>
  <c r="G54" i="4" s="1"/>
  <c r="I55" i="4"/>
  <c r="G55" i="4" s="1"/>
  <c r="I56" i="4"/>
  <c r="G56" i="4" s="1"/>
  <c r="I57" i="4"/>
  <c r="G57" i="4" s="1"/>
  <c r="I58" i="4"/>
  <c r="G58" i="4" s="1"/>
  <c r="I59" i="4"/>
  <c r="G59" i="4" s="1"/>
  <c r="I60" i="4"/>
  <c r="G60" i="4" s="1"/>
  <c r="I61" i="4"/>
  <c r="G61" i="4" s="1"/>
  <c r="I62" i="4"/>
  <c r="G62" i="4" s="1"/>
  <c r="I64" i="4"/>
  <c r="G64" i="4" s="1"/>
  <c r="I65" i="4"/>
  <c r="G65" i="4" s="1"/>
  <c r="I66" i="4"/>
  <c r="G66" i="4" s="1"/>
  <c r="I67" i="4"/>
  <c r="G67" i="4" s="1"/>
  <c r="I68" i="4"/>
  <c r="G68" i="4" s="1"/>
  <c r="I69" i="4"/>
  <c r="G69" i="4" s="1"/>
  <c r="I70" i="4"/>
  <c r="G70" i="4" s="1"/>
  <c r="I71" i="4"/>
  <c r="G71" i="4" s="1"/>
  <c r="I72" i="4"/>
  <c r="G72" i="4" s="1"/>
  <c r="I73" i="4"/>
  <c r="G73" i="4" s="1"/>
  <c r="I74" i="4"/>
  <c r="G74" i="4" s="1"/>
  <c r="I75" i="4"/>
  <c r="G75" i="4" s="1"/>
  <c r="I76" i="4"/>
  <c r="G76" i="4" s="1"/>
  <c r="I77" i="4"/>
  <c r="G77" i="4" s="1"/>
  <c r="I78" i="4"/>
  <c r="G78" i="4" s="1"/>
  <c r="I79" i="4"/>
  <c r="G79" i="4" s="1"/>
  <c r="I80" i="4"/>
  <c r="G80" i="4" s="1"/>
  <c r="I81" i="4"/>
  <c r="G81" i="4" s="1"/>
  <c r="I82" i="4"/>
  <c r="G82" i="4" s="1"/>
  <c r="I83" i="4"/>
  <c r="G83" i="4" s="1"/>
  <c r="I84" i="4"/>
  <c r="G84" i="4" s="1"/>
  <c r="I85" i="4"/>
  <c r="G85" i="4" s="1"/>
  <c r="I86" i="4"/>
  <c r="G86" i="4" s="1"/>
  <c r="I87" i="4"/>
  <c r="G87" i="4" s="1"/>
  <c r="I88" i="4"/>
  <c r="G88" i="4" s="1"/>
  <c r="I89" i="4"/>
  <c r="G89" i="4" s="1"/>
  <c r="I90" i="4"/>
  <c r="G90" i="4" s="1"/>
  <c r="I91" i="4"/>
  <c r="G91" i="4" s="1"/>
  <c r="I92" i="4"/>
  <c r="G92" i="4" s="1"/>
  <c r="K23" i="4" l="1"/>
  <c r="I23" i="4" s="1"/>
  <c r="G23" i="4" s="1"/>
  <c r="K9" i="4"/>
  <c r="L9" i="4"/>
  <c r="M9" i="4"/>
  <c r="M93" i="4" l="1"/>
  <c r="I9" i="4"/>
  <c r="G9" i="4" s="1"/>
  <c r="K14" i="4"/>
  <c r="K34" i="4"/>
  <c r="I34" i="4" s="1"/>
  <c r="G34" i="4" s="1"/>
  <c r="I29" i="4"/>
  <c r="G29" i="4" s="1"/>
  <c r="L63" i="4"/>
  <c r="I63" i="4" s="1"/>
  <c r="G63" i="4" s="1"/>
  <c r="L2" i="4"/>
  <c r="K2" i="4"/>
  <c r="I2" i="4" l="1"/>
  <c r="I14" i="4"/>
  <c r="I93" i="4" l="1"/>
  <c r="G2" i="4"/>
  <c r="G14" i="4"/>
  <c r="G93" i="4"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12743B7-B960-4C20-9D03-28669C8D5907}" keepAlive="1" name="Query - Table1" description="Connection to the 'Table1' query in the workbook." type="5" refreshedVersion="6" background="1" saveData="1">
    <dbPr connection="Provider=Microsoft.Mashup.OleDb.1;Data Source=$Workbook$;Location=Table1;Extended Properties=&quot;&quot;" command="SELECT * FROM [Table1]"/>
  </connection>
</connections>
</file>

<file path=xl/sharedStrings.xml><?xml version="1.0" encoding="utf-8"?>
<sst xmlns="http://schemas.openxmlformats.org/spreadsheetml/2006/main" count="472" uniqueCount="350">
  <si>
    <t>Project Score</t>
  </si>
  <si>
    <t>Project Sponsor</t>
  </si>
  <si>
    <t>County</t>
  </si>
  <si>
    <t xml:space="preserve"> Project Title</t>
  </si>
  <si>
    <t>Project Location</t>
  </si>
  <si>
    <t>Project Summary</t>
  </si>
  <si>
    <t xml:space="preserve">Cost share </t>
  </si>
  <si>
    <t>Year 1 Funding</t>
  </si>
  <si>
    <t>Year 2 Funding</t>
  </si>
  <si>
    <t>City of Sarasota</t>
  </si>
  <si>
    <t>Sarasota</t>
  </si>
  <si>
    <t>The Bay Sarasota: Resilient Infrastructure Part I</t>
  </si>
  <si>
    <t>Sarasota Bayfront, City of Sarasota</t>
  </si>
  <si>
    <t>Polk County Parks and Natural Resources</t>
  </si>
  <si>
    <t>Polk</t>
  </si>
  <si>
    <t>Ridge to River Protection of Critical Assets</t>
  </si>
  <si>
    <t>Countywide, Polk County</t>
  </si>
  <si>
    <t>Homestead, Miami-Dade County</t>
  </si>
  <si>
    <t>Town of Palm Beach</t>
  </si>
  <si>
    <t xml:space="preserve">Palm Beach </t>
  </si>
  <si>
    <t>Stormwater System Resilience: D-17 Pump Station Elevation</t>
  </si>
  <si>
    <t>Palm Beach, Palm Beach County</t>
  </si>
  <si>
    <t xml:space="preserve">City of Miami </t>
  </si>
  <si>
    <t>Miami-Dade</t>
  </si>
  <si>
    <t>Immediate Flood Control: Install 79 Backflow Valves Citywide (BVCW)</t>
  </si>
  <si>
    <t>Miami</t>
  </si>
  <si>
    <t>Collier</t>
  </si>
  <si>
    <t>City of Venice</t>
  </si>
  <si>
    <t xml:space="preserve">Sarasota </t>
  </si>
  <si>
    <t>Tarpon Center Drive Nature Based Flood Mitigation Pilot Project</t>
  </si>
  <si>
    <t>Venice, Sarasota County</t>
  </si>
  <si>
    <t>Broward</t>
  </si>
  <si>
    <t>City of Miami Beach</t>
  </si>
  <si>
    <t>Project Title First Street Flood Mitigation and Sea Level Rise Adaptation</t>
  </si>
  <si>
    <t>Miami Beach, Miami-Dade County</t>
  </si>
  <si>
    <t>Elevate the road to reduce current and future tidal flooding, upsize the gravity collection system and stormwater pump station, and water quality outfall requirements.  Also replace and adapt failing water and sewer infrastructure.</t>
  </si>
  <si>
    <t>Miami Shores Village</t>
  </si>
  <si>
    <t>Miami Dade</t>
  </si>
  <si>
    <t>Miami Shores Village 93rd Street Pump Station Mitigation</t>
  </si>
  <si>
    <t>Miami Shores Village, Miami-Dade County</t>
  </si>
  <si>
    <t>Elevation of a pump station, generator and fuel tank, and electrical panel; lining of the piping system to prevent corrosion and increase longevity.</t>
  </si>
  <si>
    <t>City of Punta Gorda</t>
  </si>
  <si>
    <t>Charlotte</t>
  </si>
  <si>
    <t>Tiki Point Harborwalk Living Shoreline Pilot Project</t>
  </si>
  <si>
    <t>Downtown Punta Gorda, Charlotte County</t>
  </si>
  <si>
    <t xml:space="preserve">Martin County Board of County Commissioners </t>
  </si>
  <si>
    <t xml:space="preserve">Martin </t>
  </si>
  <si>
    <t>Indian Riverside Park Living Shoreline Phase II</t>
  </si>
  <si>
    <t>Jensen Beach, Martin County</t>
  </si>
  <si>
    <t>Escambia County Board of County Commissioner</t>
  </si>
  <si>
    <t>Escambia</t>
  </si>
  <si>
    <t>Beach Haven Phase II</t>
  </si>
  <si>
    <t>South central Escambia County</t>
  </si>
  <si>
    <t>Palm Beach</t>
  </si>
  <si>
    <t>Hollywood, Broward County</t>
  </si>
  <si>
    <t>Martin</t>
  </si>
  <si>
    <t>City of Delray Beach</t>
  </si>
  <si>
    <t>Tropic Isle Roadway and Underground Utility Improvements</t>
  </si>
  <si>
    <t>Tropic Isle neighborhood, City of Delray Beach</t>
  </si>
  <si>
    <t>50%</t>
  </si>
  <si>
    <t>Pinellas</t>
  </si>
  <si>
    <t>Broward County Aviation Department</t>
  </si>
  <si>
    <t>FLL Stormwater Outfall Modifications</t>
  </si>
  <si>
    <t>Ft. Lauderdale Airport area, Broward County</t>
  </si>
  <si>
    <t xml:space="preserve">Project consists of design and construction of modifications to existing stormwater outfalls to prevent backflow due to high tides. Project will eliminate the risk of tidal flooding throughout the airfield. </t>
  </si>
  <si>
    <t>Broward County</t>
  </si>
  <si>
    <t>Fire Station #1</t>
  </si>
  <si>
    <t>City of St. Petersburg</t>
  </si>
  <si>
    <t>Bartlett Lake Improvements</t>
  </si>
  <si>
    <t>Bartlett Lake, City of St. Petersburg</t>
  </si>
  <si>
    <t>Channel restoration and dredging to increase storage capacity</t>
  </si>
  <si>
    <t xml:space="preserve">City of North Lauderdale </t>
  </si>
  <si>
    <t xml:space="preserve">Pump Station </t>
  </si>
  <si>
    <t>North Lauderdale, Broward County</t>
  </si>
  <si>
    <t>Construction of a new pump station to convey drainage into the C-14 canal. This was an improvement that was identified as an important flood control project in the City's 2020 Stormwater Management Plan. This would also reduce flooding for a 2,124 acre basin and improve the impacts of flooding events from rain and rising sea levels.</t>
  </si>
  <si>
    <t>Miami Dade County</t>
  </si>
  <si>
    <t>Design plan to improve storm water management for South Dade Landfill</t>
  </si>
  <si>
    <t>South Miami-Dade County</t>
  </si>
  <si>
    <t>Monroe</t>
  </si>
  <si>
    <t>Town of Surfside</t>
  </si>
  <si>
    <t>Town of Surfside's Abbott Avenue Stormwater Improvements</t>
  </si>
  <si>
    <t>Martin County</t>
  </si>
  <si>
    <t>Stormwater Backflow Preventer Installation Program</t>
  </si>
  <si>
    <t>Old Palm City area of Martin County</t>
  </si>
  <si>
    <t>Miami-Dade County</t>
  </si>
  <si>
    <t>#674 Mangrove Restoration Along Goulds Canal to Reduce Storm Surge and Sea Level Rise Risks to Upland Areas and Assets</t>
  </si>
  <si>
    <t>Project consists of mangrove restoration to reduce pollution of  canal by nearby landfill. Project will provide flood mitigation to reduce upland damages and protect against storm surge.</t>
  </si>
  <si>
    <t>City of Miami</t>
  </si>
  <si>
    <t>Replacement of 8 Seawalls in Edgewater Project (S-EW) between NE 22nd St. to NE 34th St. along Biscayne Bay</t>
  </si>
  <si>
    <t>Edgewater area, Miami</t>
  </si>
  <si>
    <t>Design, permitting, and construction of 8 seawalls up to a 3.5' cap elevation with capacity to raise cap to 6' NAVD88 to replace dilapidated seawalls to address flooding within an area of repetitive losses</t>
  </si>
  <si>
    <t xml:space="preserve">Broward </t>
  </si>
  <si>
    <t>FLL Hilton Parcel Interconnection</t>
  </si>
  <si>
    <t>Stormwater and Wastewater System Resilience: D-8 Pump Station / E-5 Lift Station Elevation</t>
  </si>
  <si>
    <t>Project consists of elevation of sensitive equipment at the co-located D-8 Stormwater Pump Station and E-5 Wastewater Lift Station to FEMA BFE + 2Ft and upgrade and replace critical equipment. The project will mitigate coastal flooding risks to the equipment and allow for faster recovery of stormwater drainage services and wastewater services for the area.</t>
  </si>
  <si>
    <t>Twin Rivers Park Shoreline Stabilization</t>
  </si>
  <si>
    <t>Stuart, Martin County</t>
  </si>
  <si>
    <t xml:space="preserve">Project consists of stabilization of Twin Rivers Park shoreline. Project will reduce sea level rise induced erosion, maintain recreational shoreline access and preserve upland habitat. </t>
  </si>
  <si>
    <t xml:space="preserve">Miami-Dade County </t>
  </si>
  <si>
    <t>Enhancing the Resiliency of PHCD’s Ingram Terrace Affordable Housing by Reducing Flood Risks with Stormwater Infrastructure and Other Improvements</t>
  </si>
  <si>
    <t>Hialeah, Miami-Dade County</t>
  </si>
  <si>
    <t>Golden Gate Stormwater Treatment Area (STA) North Outfall Flood Mitigation</t>
  </si>
  <si>
    <t>North Bay Village</t>
  </si>
  <si>
    <t>North Bay Village Stormwater Collection System</t>
  </si>
  <si>
    <t>North Bay Village, Miami-Dade County</t>
  </si>
  <si>
    <t xml:space="preserve">Installation of a new high capacity pump station to mitigate flood risks and maintain passable roadways which are also evacuation routes. </t>
  </si>
  <si>
    <t xml:space="preserve">Miami-Dade County, RER-DERM </t>
  </si>
  <si>
    <t xml:space="preserve">Biscayne Shores 3 Stormwater Pump Station Retrofit &amp; Improvements </t>
  </si>
  <si>
    <t>Miami Shores area, Miami-Dade County</t>
  </si>
  <si>
    <t>Construction to retrofit and harden infrastructure of a stormwater pump station</t>
  </si>
  <si>
    <t xml:space="preserve">Gulf County </t>
  </si>
  <si>
    <t xml:space="preserve">Gulf </t>
  </si>
  <si>
    <t xml:space="preserve">Advanced Wastewater Treatment Facility </t>
  </si>
  <si>
    <t>Countywide, Gulf County</t>
  </si>
  <si>
    <t>City of Sunrise</t>
  </si>
  <si>
    <t>Springtree Wastewater Treatment Plant Storage and Equipment Building</t>
  </si>
  <si>
    <t>City of Sunrise, Palm Beach County</t>
  </si>
  <si>
    <t>Replacement of the existing storage and equipment building, which currently has aging components and is flood prone.  Plans include elevating the building, meeting the Florida Building Code standards, adhering to required flood elevations, wind proof windows and roof.</t>
  </si>
  <si>
    <t>679 EEL Acquisition &amp; Environmental Enhancement of Lands Needed to Help Reduce Risk from SLR, Storm Surge, &amp; Saltwater Intrusion</t>
  </si>
  <si>
    <t>Southern Miami-Dade County</t>
  </si>
  <si>
    <t>Project consists of land acquisition and enhancement of key lands. Project will protect critical assets, buffer storm surge, hold and filter stormwater, and create permanent conservation lands.</t>
  </si>
  <si>
    <t xml:space="preserve">City of Marco Island </t>
  </si>
  <si>
    <t>South Water Treatment Plant (SWTP) West High Service Pump Station (West HSPS)</t>
  </si>
  <si>
    <t>Serving most of City of Marco Island</t>
  </si>
  <si>
    <t xml:space="preserve">City of West Palm Beach </t>
  </si>
  <si>
    <t>City of West Palm Beach Pilot Seawall Elevation Project</t>
  </si>
  <si>
    <t>Citywide, City of West Palm Beach</t>
  </si>
  <si>
    <t>Design, permitting and construction of a 1425 foot segment of sea wall and a 300 foot segment of another seawall.  The new sea walls will be designed for future sea level rise and storm surge and will incorporate green infrastructure features.</t>
  </si>
  <si>
    <t xml:space="preserve">Canal Rehabilitation </t>
  </si>
  <si>
    <t>Wastewater System Resilience: A-5 Lift Station Elevation</t>
  </si>
  <si>
    <t xml:space="preserve">City of Boca Raton </t>
  </si>
  <si>
    <t>NE 32nd Street Seawall</t>
  </si>
  <si>
    <t>On ICW near FAU, City of Boca Raton</t>
  </si>
  <si>
    <t>City of Lauderdale Lakes</t>
  </si>
  <si>
    <t xml:space="preserve">Fire Station 37 Hardening </t>
  </si>
  <si>
    <t>Lauderdale Lakes, Broward County</t>
  </si>
  <si>
    <t>City of Parker</t>
  </si>
  <si>
    <t>Bay</t>
  </si>
  <si>
    <t>Inland Flood Protection Retention Pond</t>
  </si>
  <si>
    <t>Parker, Bay County</t>
  </si>
  <si>
    <t>Creation of a retention pond and lift station to protect 648 homes from flooding as well as to protect the sewer and stormwater system.</t>
  </si>
  <si>
    <t>Miami-Dade County, RER-DERM</t>
  </si>
  <si>
    <t>Lake Belmar New Stormwater Pump Station Pump and Infrastructure System Installation to Mitigate Flooding and Anticipated Sea Level Rise</t>
  </si>
  <si>
    <t>Near Miami Shores, Miami-Dade County</t>
  </si>
  <si>
    <t>Construction of a new pump station. Station design to include the evaluation of drainage wells for infiltration treatment. Existing infrastructure in the area has a partial outfall into the Bay which will be re-directed into the proposed pump station system.</t>
  </si>
  <si>
    <t>Town of Cutler Bay</t>
  </si>
  <si>
    <t>Cutler Bay Buffer Land Restoration Project</t>
  </si>
  <si>
    <t>Cutler Bay, Miami-Dade County</t>
  </si>
  <si>
    <t>Miami-Dade County DOTPW</t>
  </si>
  <si>
    <t>Elevation of Roadway, Infrastructure and Drainage Improvements to SW 157 Ave from SW 42 to SW 8Street for Resilience</t>
  </si>
  <si>
    <t>Western Miami-Dade County</t>
  </si>
  <si>
    <t xml:space="preserve">This is a road widening project from 2 to 4 lanes. Mitigation measures being built into the project include higher road elevation, continuous storm drainage system, and curb/gutter system. Road elevation will be to 2060 requirements with Future Sea Level Rise. </t>
  </si>
  <si>
    <t>St. Johns River Water Management District</t>
  </si>
  <si>
    <t>Putnam</t>
  </si>
  <si>
    <t>Riverside Conservancy Living Shoreline</t>
  </si>
  <si>
    <t>New Smyrna Beach</t>
  </si>
  <si>
    <t xml:space="preserve">Brevard County Mosquito Control </t>
  </si>
  <si>
    <t>Brevard</t>
  </si>
  <si>
    <t xml:space="preserve">Crystal Lakes Impoundment Breakwater and Living Shoreline </t>
  </si>
  <si>
    <t>Melbourne Beach, Brevard County</t>
  </si>
  <si>
    <t>City of Port St. Lucie</t>
  </si>
  <si>
    <t>St. Lucie</t>
  </si>
  <si>
    <t>Water Control Structure Upgrades in Watersheds A and B of Port St. Lucie</t>
  </si>
  <si>
    <t>Maximo Park Living Shoreline Project</t>
  </si>
  <si>
    <t>Maximo Park, City of St. Petersburg</t>
  </si>
  <si>
    <t>Countywide, Miami-Dade County</t>
  </si>
  <si>
    <t>City of Boca Raton</t>
  </si>
  <si>
    <t>On ICE, City of Boca Raton</t>
  </si>
  <si>
    <t>FLL Trails End Pump Station</t>
  </si>
  <si>
    <t>Monroe County</t>
  </si>
  <si>
    <t>Key Largo, Monroe County</t>
  </si>
  <si>
    <t>Critical Equipment Flood Resiliency for County Integrated Command and Communication Center</t>
  </si>
  <si>
    <t xml:space="preserve">Protect and harden the Integrated Command and Communication Center, and relocate critical HVAC components and back up generators to protect from extreme storm and flooding events. </t>
  </si>
  <si>
    <t>Design, Permitting &amp; Construction North Grapeland Heights Seawall (NGHS) at NW 13th Street and NW 32nd Avenue</t>
  </si>
  <si>
    <t>Near Miami Int'l Airport</t>
  </si>
  <si>
    <t>Flood Mitigation Measures for Critical County-wide Data Processing and Communications Center</t>
  </si>
  <si>
    <t>Downtown Miami</t>
  </si>
  <si>
    <t xml:space="preserve">City of Oldsmar </t>
  </si>
  <si>
    <t xml:space="preserve">Water Reclamation Facility Control Building </t>
  </si>
  <si>
    <t>Citywide, City of Oldsmar</t>
  </si>
  <si>
    <t>City of West Palm Beach</t>
  </si>
  <si>
    <t>Flagler Drive Drainage Improvements</t>
  </si>
  <si>
    <t>West Palm Beach</t>
  </si>
  <si>
    <t>Twin Lakes Subdivision Flood Mitigation Project</t>
  </si>
  <si>
    <t xml:space="preserve">City of Oakland Park </t>
  </si>
  <si>
    <t>NE 13th Avenue Stormwater</t>
  </si>
  <si>
    <t>Oakland Park, Broward County</t>
  </si>
  <si>
    <t xml:space="preserve">St. Johns River Water Management District </t>
  </si>
  <si>
    <t>Escambia County Board of County Commissioners</t>
  </si>
  <si>
    <t xml:space="preserve">Escambia </t>
  </si>
  <si>
    <t>Chandler Street Drainage</t>
  </si>
  <si>
    <t>Ensley, near Pensacola, Escambia County</t>
  </si>
  <si>
    <t>Installation of a stormwater conveyance system to connect to a newly installed stormwater system to efficiently reduce flood risk for up to 20 homes.</t>
  </si>
  <si>
    <t>Public Housing Resiliency Upgrades in the Little River Adaptation Action Area</t>
  </si>
  <si>
    <t>Little River Neighborhood, Miami</t>
  </si>
  <si>
    <t>Countywide, Pinellas County</t>
  </si>
  <si>
    <t>South Oslo Riverfront Conservation Area (SORCA) Floodplain Restoration</t>
  </si>
  <si>
    <t>Indian River Lagoon, Indian River County</t>
  </si>
  <si>
    <t>Stormwater System Resilience: D-12 Pump Station Floodproofing</t>
  </si>
  <si>
    <t>C-10 Water Management Area (WMA)</t>
  </si>
  <si>
    <t>Melbourne, Brevard County</t>
  </si>
  <si>
    <t>Enhance floodplain storage to collect and retain stormwater by building a pump station, outfall structure, 4-mile levee, and improve an existing levee.</t>
  </si>
  <si>
    <t>Gulf County</t>
  </si>
  <si>
    <t>White City Water Treatment Plant</t>
  </si>
  <si>
    <t>White City, Gulf County</t>
  </si>
  <si>
    <t xml:space="preserve">MDPLS (Miami Dade Public Library System) Main Library Resilient Grant </t>
  </si>
  <si>
    <t>Miami-Dade County Main Library</t>
  </si>
  <si>
    <t xml:space="preserve">Installation of a flood barrier and a new roof to protect the regional library which is a critical asset that serves as a disaster recovery center and is prone to damage from increased storms and flooding.  </t>
  </si>
  <si>
    <t>City of Apalachicola</t>
  </si>
  <si>
    <t>Franklin</t>
  </si>
  <si>
    <t>Wastewater Plant Repairs</t>
  </si>
  <si>
    <t>Citywide, Apalachicola, Franklin County</t>
  </si>
  <si>
    <t>Flagler Drive Lift Station Retrofits – Design &amp; Construction</t>
  </si>
  <si>
    <t xml:space="preserve">Miami Dade </t>
  </si>
  <si>
    <t>Installation and Elevation of Generators at multiple Miami-Dade County Fire Stations</t>
  </si>
  <si>
    <t xml:space="preserve">This project will install and elevate generators at four fire stations at risk for power loss and interruption of services during storm surges. To combat rising sea levels and flood risks, which are identified as concerns to these stations, generators will be installed on elevated platforms at least 2 ft above the base flood elevation level at each station. The elevation will prevent damage to the generators and reduce the need for constant maintenance or replacement. </t>
  </si>
  <si>
    <t xml:space="preserve">Resilient Shoreline Stabilization at Kristi House Children's Center </t>
  </si>
  <si>
    <t>Near downtown Miami</t>
  </si>
  <si>
    <t xml:space="preserve">Project to install sheet pile seawall bulkhead and rock revetments as well as natural elements in order to create a more resilient shoreline and protect from erosion, storm surge and tidal flooding. </t>
  </si>
  <si>
    <t>67.86%</t>
  </si>
  <si>
    <t>Bayard Point Land Acquisition</t>
  </si>
  <si>
    <t>Bayard Point, Clay County</t>
  </si>
  <si>
    <t>Miami-Dade Public Library System</t>
  </si>
  <si>
    <t xml:space="preserve">Miami Beach Regional Library Resilience Grant </t>
  </si>
  <si>
    <t>#684 MDC EEL - Atlantic Civil - Wink Eye Slough Land Acquisition Project: Nature-Based Approach to Addressing Salt Water Intrusion</t>
  </si>
  <si>
    <t>Florida City, Miami-Dade County</t>
  </si>
  <si>
    <t>Project consists of land acquisition of 152 acres of natural Everglades slough to allow for restoration. Project will protect critical assets, buffer saltwater intrusion in aquifer, create permanent conservation lands, reduce upland damages by protecting floodplain, improve water quality, and reduce pollution of Biscayne National Park.</t>
  </si>
  <si>
    <t>City of Oakland Park</t>
  </si>
  <si>
    <t>Outfall Replacement</t>
  </si>
  <si>
    <t>Peters Wetlands Land Acquisition Project: Nature-based Adaptation Approach to Reduce Risks of Storm Surge and Sea Level Rise</t>
  </si>
  <si>
    <t xml:space="preserve">Project to purchase 62 acres of wetlands to mitigate flooding/ SLR. Create buffer lands to protect upland urban areas, restore wetlands, improve water quality and protect wetland species/ habitat. </t>
  </si>
  <si>
    <t>West Palm Beach, Broward County</t>
  </si>
  <si>
    <t xml:space="preserve">Pinellas County Utilities </t>
  </si>
  <si>
    <t xml:space="preserve">Utilities Reliability Improvements </t>
  </si>
  <si>
    <t>Fire Station #9</t>
  </si>
  <si>
    <t>Relocation and reconstruction of a Fire Station, including elevating it, new windows, doors and roof.  The current Fire Station is not satisfactory for flood prevention, as highlighted after Hurricane Irma.</t>
  </si>
  <si>
    <t>Alachua County</t>
  </si>
  <si>
    <t>Alachua</t>
  </si>
  <si>
    <t>Robin Lane drainage improvements</t>
  </si>
  <si>
    <t>Gainesville, Alachua County</t>
  </si>
  <si>
    <t>City of Pensacola</t>
  </si>
  <si>
    <t>Main Street Flooding and Adaptation Project</t>
  </si>
  <si>
    <t>Downtown Pensacola, Escambia County</t>
  </si>
  <si>
    <t>Increase in the storm drain pipe size and improve stormwater management on a segment of Main Street which is at a low elevation and has deficient pipe capacity for the flood conditions.</t>
  </si>
  <si>
    <t xml:space="preserve">Broward County Board of County Commissioners </t>
  </si>
  <si>
    <t>Broward County C-4 Canal Conveyance Improvements</t>
  </si>
  <si>
    <t>Near Coconut Creek, Broward County</t>
  </si>
  <si>
    <t xml:space="preserve">This projects looks to mitigate the threats of erosion and channel sedimentation in the C-4 Canal. This would help to prevent losses in flood protection, aquifer recharge, and improvements in saltwater intrusion. This project would seek to dredge the C-4 canal to increase conveyance capacity. </t>
  </si>
  <si>
    <t>Titusville, Brevard County</t>
  </si>
  <si>
    <t>City of Homestead</t>
  </si>
  <si>
    <t>6th Avenue Drainage Improvements</t>
  </si>
  <si>
    <t xml:space="preserve">Installation of new and resilient stormwater facilities in  a high priority area, defined by planners due to previous flooding.  Installation of catch basins, manholes, pipelines and exfiltration trenches all with an aim to minimize destruction and increase personal safety. </t>
  </si>
  <si>
    <t xml:space="preserve">Merritt Island T-24-D Impoundment Living Shoreline </t>
  </si>
  <si>
    <t>Merritt Island</t>
  </si>
  <si>
    <t>City of Dania Beach</t>
  </si>
  <si>
    <t>SW 37th Terrace Stormwater Project</t>
  </si>
  <si>
    <t>Dania Beach, Broward County</t>
  </si>
  <si>
    <t>Project consists of construction of a stormwater infrastructure along the SW 37th Terr. Roadway. Project will reduce flooding and provide additional water quality in residential area.</t>
  </si>
  <si>
    <t>Canal Rehabilitation</t>
  </si>
  <si>
    <t xml:space="preserve">The City has initiated a comprehensive stormwater improvement effort that includes enhancing the drainage canals throughout the community. The City's Stormwater personnel have identified several of the canals that are in the greatest need of improvements to not only maintain but increase capacity. The miles of work completed will result in drainage facilities that will be able to provide protection well into the future as water levels rise from the coast and storms become more frequent. </t>
  </si>
  <si>
    <t>Little River Basin Phase 1 Improvements to Raise Canal Banks Elevations to Enhance Storage to Meet 2060 Sea Level Rise</t>
  </si>
  <si>
    <t>Improvements to six canals (6 miles) under Miami-Dade County control, C-7 Basin. Improvements include raising top of bank elevations (enhance storage), upgrade culverts (enhance conveyance), and improve outfalls.</t>
  </si>
  <si>
    <t>Broward County Board of Commissioners</t>
  </si>
  <si>
    <t>Installation of dewatering pumps to address the remediation of SRA1A tidal flooding to maintain access to Hollywood North Beach Park.</t>
  </si>
  <si>
    <t>Brevard County Board of County Commissioners</t>
  </si>
  <si>
    <t>Max Brewer Causeway Hurricane and Storm Damage Reduction and Restoration Project</t>
  </si>
  <si>
    <t>Restoration of approximately 2,200 linear feet of shoreline to fortify a highly eroded roadway, a high use public access area and a unique ecological use area.</t>
  </si>
  <si>
    <t xml:space="preserve">Brevard County Natural Resources Management Department </t>
  </si>
  <si>
    <t xml:space="preserve">Brevard </t>
  </si>
  <si>
    <t xml:space="preserve">Restoring Seagrass and Oyster Habitat for Improved Natural Resilience </t>
  </si>
  <si>
    <t>Indian River Lagoon, Brevard County</t>
  </si>
  <si>
    <t xml:space="preserve">Permitting, seagrass planting and oyster bar installation to address erosion and wave attenuation as well as water quality over 1.5 acres as well as monitoring </t>
  </si>
  <si>
    <t xml:space="preserve">North Dade Chiller Plant - Critical Infrastructure Hardening </t>
  </si>
  <si>
    <t>Overtown, Miami</t>
  </si>
  <si>
    <t>Flood mitigation improvements for a critical asset which is currently flood prone. Improvements will ensure function of multiple critical assets effected by the chiller during and after flood events</t>
  </si>
  <si>
    <t>City of New Port Richey</t>
  </si>
  <si>
    <t>Pasco</t>
  </si>
  <si>
    <t>South Gateway Inundation Park</t>
  </si>
  <si>
    <t>New Port Richey, Pasco County</t>
  </si>
  <si>
    <t>The construction of a detention pond and redevelop two fully paved parcels; redirect drainage from 23.5 acres of impervious surface for storage and treatment.</t>
  </si>
  <si>
    <t>County Government Center (Stephen P. Clark Center) Stormwater Drainage Improvements</t>
  </si>
  <si>
    <t>Town of Juno Beach</t>
  </si>
  <si>
    <t>Universe Boulevard</t>
  </si>
  <si>
    <t>Town of Juno Beach, Palm Beach County</t>
  </si>
  <si>
    <t>Installation of a new drainage system to mitigate damage from flooding and sea level rise</t>
  </si>
  <si>
    <t>Edgewater Flood Improvements (EFI) - NE 4 Ave to Biscayne Bay, NE 22 to NE 24 St</t>
  </si>
  <si>
    <t>Design, permitting and construction of a stormwater collection system including a pump with outfall to Miami River.</t>
  </si>
  <si>
    <t>Palm Beach County</t>
  </si>
  <si>
    <t>Australian Avenue Drainage Improvements</t>
  </si>
  <si>
    <t xml:space="preserve">The project will install a necessary new drainage system for the Australian Avenue corridor from Banyan Boulevard to 45th Street to increase drainage capacity and to mitigate and alleviate flooding. The new drainage system will eliminate the shallow roadside swales, and will replace them with a new storm sewer system comprised of curb and gutter, inlets, pipes, additional water quantity storage, additional water quality treatment required by permit, and outfall locations. </t>
  </si>
  <si>
    <t>Project to install a new pump station, underground and above ground piping, new fiber optic data lines, new HVAC system, new building installations all in order to maintain a reliable drinking water and fire suppression water supply to the city.</t>
  </si>
  <si>
    <t>Project consists of design and construction for the elevation of sensitive critical equipment at the A-5 Wastewater Lift Station to FEMA BFE + 2Ft. The project will mitigate coastal flooding risks to the equipment and avoid failure of wastewater services to residential and commercial areas.</t>
  </si>
  <si>
    <t>Wave crest Way Seawall</t>
  </si>
  <si>
    <t>Project consists of the design and construction of a new stormwater pump station on the existing outfall for the airport. Project will result in a reduction of flooding, maintain discharge capacity via stormwater outfalls during elevated tailwater conditions due to projected sea level rise, and reduce airport shutdowns.</t>
  </si>
  <si>
    <t>Still wright Point Road Elevation &amp; Stormwater Design and Permitting</t>
  </si>
  <si>
    <t xml:space="preserve">Project to adapt the county data processing and comms center that is the IT services for the whole county operations (fire and police). Will install temporary flood panels and stormwater drainage improvements near loading dock and watertight doors for floodproofing. </t>
  </si>
  <si>
    <t>Development of a new stormwater system, including replacement of the existing drainage and potable water system.  Project will protect dozens of structures, 90% of city is currently in a Special Flood Hazard Area, this project will create a more resilient system.</t>
  </si>
  <si>
    <t>Design &amp; Construction of Allapattah Flood Improvements (AFI) NW 7 Ave to 14 Ave, NW 23 St to 31 St</t>
  </si>
  <si>
    <t>Design, permitting, and construction of a stormwater collection system to prevent flooding in an at-risk area that will protect residential properties including low-income housing and 2 rail stations</t>
  </si>
  <si>
    <t>Repair impoundment by  repairing damage caused by hurricanes and moving sections of the dike away from the shoreline, installing ~4,000 ft of living shoreline to decrease erosion</t>
  </si>
  <si>
    <t xml:space="preserve">Project to place 4 dewatering pumps in low-lying areas where tidal flooding and SS are impacting arterial roadways. This is a critical part of a larger FDOT led project. </t>
  </si>
  <si>
    <t>Assessment, design, and construction of stormwater improvements to a drainage system that serves a critical County Gov building. The existing system is compromised and has been identified as vulnerable to storm surge</t>
  </si>
  <si>
    <t>Approximate Total Project Cost (dollars)</t>
  </si>
  <si>
    <t xml:space="preserve">Installation of stormwater pump stations and connector pipes to a new stormwater management area. This will provide flood protection to FLL south airfield. Pump station will maintain consistent discharge flow into tidally influenced Dania Cutoff canal during future SLR scenarios. </t>
  </si>
  <si>
    <t xml:space="preserve">Implement improvements to mitigate flood and wind vulnerability at four facilities: Logan Laboratory, South Cross Bayou Water Reclamation Facility (SCBWRF) Operations Support Center, SCBWRF Dewatering Education Center, and the General Maintenance Operations Center. </t>
  </si>
  <si>
    <t>Statewide Flooding and SLR Resilience Plan Funded Projects</t>
  </si>
  <si>
    <t>Estimated Requested Funding Total (dollars)</t>
  </si>
  <si>
    <t>Project Duration (years)</t>
  </si>
  <si>
    <t xml:space="preserve"> </t>
  </si>
  <si>
    <t xml:space="preserve">A Miami-Dade County-owned critical community facility that provides affordable housing to over 80 low-income residents within the flood-prone community of Opa Locka. Project entails reducing flood risks and fully protecting this critical asset for 5 buildings by conducting on-site stormwater infrastructure improvements, hardening, and increasing resiliency of facility (windows, doors, roofs). 1) On-site stormwater infrastructure improvements to a) reduce flood risk to the building, the residents, and the community; b) improve access to the site; c) enhance resilience of a critical asset. 2) Whole building resilience to a) reduce flood and wind risk from hurricanes and other storm events; b) increase life-safety; and enhance resilience and life of the asset. </t>
  </si>
  <si>
    <t xml:space="preserve">Miami-Dade Public Housing &amp; Community Development (PHCD) proposes improving the physical conditions of a key grouping of nine public housing sites located within the Little River basin area, which is an area that is extremely threatened by sea level rise. Reconstruction and rehabilitation projects will help improve these sites that house 561 housing units. Outcomes: 1) improve buildings' abilities to safely house residents despite storm surge or tide changing flooding events; 2) increase ability of landscaped areas to absorb and retain water run-off; 3) reduce water run-off that buildings contribute to the surrounding areas; 4) help preserve surrounding waterways' and wetlands' water quality. </t>
  </si>
  <si>
    <t>Project to dry floodproof a stormwater pump station to FEMA BFE +2 ft req. Installation of flood barrier systems,  two station entrance doors, and generator louver with be added to the project. This scope will be added to a planned $830k upgrade to replace the backflow valves/generator coolant system.</t>
  </si>
  <si>
    <t xml:space="preserve">Project to elevate critical assets (D-17 stormwater pump) to FEMA BFE +2 ft. Scope will be added to a planned $460k upgrade to replace unreliable backflow valves and watertight wiring connections below the FEMA BFE +2 ft. </t>
  </si>
  <si>
    <t>Installation of backflow valves city-wide to reduce flooding  on roadways, evacuation routes, and prevent infrastructure loss including critical assets. Enhance water quality of Biscayne Bay.</t>
  </si>
  <si>
    <t xml:space="preserve">This project builds off another design project in which it will construct a living shoreline that will mitigate flooding and SLR in a hybrid nature-based way, to buffer storm effects outlined in the adaptation and comp. Project includes data collection, final design, final permitting, and construction. </t>
  </si>
  <si>
    <t>Phase II of a fully designed and permitted project to provide enhanced stormwater improvements and sanitary sewer services, impacting up to 400 homes, improving water quality and increasing storage capacity.</t>
  </si>
  <si>
    <t>A resilient living shoreline at Indian Riverside Park will stabilize the shoreline, support a wide variety of species, and provide an example of the benefits of nature-based solutions. This project includes construction of segmented rock breakwaters placed ~75-150 ft offshore across a ~2500-ft section of shoreline. By reducing onshore wave energy, the breakwaters promote mangrove growth and decrease turbidity, increasing the likelihood of success of seagrass recruitment, such as the endangered Johnson’s seagrass.</t>
  </si>
  <si>
    <t xml:space="preserve">The Tropical Isle Roadway is experiencing deterioration and deformation due to high tides and sea level rise. Based on a storm water analysis and roadway pavement rehabilitation study, the project would raise the roads six inches and the existing gravity system would be replaced with a pump drainage system to mitigate flooding. </t>
  </si>
  <si>
    <t xml:space="preserve">Construction of a new fire station to expand emergency coverage; it will replace a deteriorated, outdated existing facility that sits below the FEMA required BFE and its criticality was rated "High" in a 2017 VA. </t>
  </si>
  <si>
    <t xml:space="preserve">The project will consist of studying the current storm water system and the existing infrastructure and propose improvements, to address the storm water retention ponds in order to handle any potential increase in storm water run-off. </t>
  </si>
  <si>
    <t xml:space="preserve">Stormwater improvements will alleviate flooding issues in the Town, including pipe upsizing and connections, better stormwater conveyance, 2 new pump stations, and 3 drainage wells at each of those stations. This would focus on Abbott Ave, Harding Ave, and Bay Dr. </t>
  </si>
  <si>
    <t xml:space="preserve">Project to install backflow preventers in locations throughout Martin County (esp. Old Palm City); project will also create natural velocity dissipating spillways, and necessary repairs/replacements of existing backflow structures. </t>
  </si>
  <si>
    <t>Construction of a new Wastewater treatment plant inland from the current plant which is vulnerable to storm surge due to proximity to the bay.</t>
  </si>
  <si>
    <t>Design, permitting, and construction of a new weir to reduce backflow of a canal and protect a low-income neighborhood from flooding.</t>
  </si>
  <si>
    <t>Improvement to 9 miles of the city's canal system to increase capacity, protect the community from the increased threat of flooding, provide protection for economically disadvantaged residents, and redevelop critical infrastructure.</t>
  </si>
  <si>
    <t>The City contracts with BSO to provide fire rescue and emergency medical services to the community of 35,000. The City provides the fire station facility for first responder perations. As climate change increases severe weather including more frequent/severe flooding, the existing facility will not provide sufficient protection for the critical personnel and vehicles. Now located in a SFHA, the station will be relocated and constructed to be resilient as threats continue to increase.</t>
  </si>
  <si>
    <t>New seawall built to 4.0 NAVD and incorporating the allowance of an additional 18 inch raise in the future to reduce flooding in a vulnerable area and plan for future SLR within an Adaptation Action Area.</t>
  </si>
  <si>
    <t>Phase 1 of restoration project, aims to mitigate impacts of sea level rise by including removal of exotic vegetation, planting natives, creating bioswales and rain gardens, installing educational signage.</t>
  </si>
  <si>
    <t>Restoration of one mile of living shoreline to protect against storm surge and increase habitat resiliency.</t>
  </si>
  <si>
    <t>Improvements to mosquito control impoundment dike; installation of oysters and living shoreline.</t>
  </si>
  <si>
    <t xml:space="preserve">This project is to complete a construction of critical control structure improvements (upgrading culverts/risers, replacing gates, regrading channel sides slopes, and installing fiber optic connections for E-5, E-8, and E-84 canals). </t>
  </si>
  <si>
    <t>Construction of the northern portion of  a living shoreline in the Park to protect 2 archeological sites and other community assets.</t>
  </si>
  <si>
    <t>Replacement of a seawall, bringing it to 4.0 NAVD and incorporating the allowance of an additional 18 inch raise in the future to reduce flooding in a vulnerable area and plan for future SLR within an Adaptation Action Area.</t>
  </si>
  <si>
    <t>Design and permitting for the elevation and drainage of a roadway that experiences persistent flooding.</t>
  </si>
  <si>
    <t>Design, permitting and construction of a seawall and living shoreline (91 lf) near C-5 canal.</t>
  </si>
  <si>
    <t>Drainage improvements to include separating area system from the basin wide system, installing additional outfalls, and installing check valves.  Flagler Road experiences severe flooding, particularly in localized low areas in the drainage basin.</t>
  </si>
  <si>
    <t>Replace water reclamation facility that is below BFE to ensure facility can continue to operate under flood conditions, located in a Coastal High Hazard Zone.</t>
  </si>
  <si>
    <t>Elevation of roadways and construction of a stormwater collection system, pump station, and 5 injection wells to alleviate flooding and adapt to SLR.</t>
  </si>
  <si>
    <t xml:space="preserve">Retrofit the city's two most vulnerable lift stations with supporting infrastructure to make hardening modifications and elevate the stations.   </t>
  </si>
  <si>
    <t>Project will move critical wastewater facilities out of flood zone and into an existing plant site to reduce flood risk and construct a facility that can withstand hurricane winds.</t>
  </si>
  <si>
    <t>Acquisition of Bayard Point into SJRWMD Bayard Conservation Area to prevent further development in a FEMA high risk flood area.</t>
  </si>
  <si>
    <t>The project will replace an existing outfall structure and expand the capabilities of the facility to provide protection to a 210-acre drainage area that has a history of repetitive flooding and unreliable service.</t>
  </si>
  <si>
    <t>Stormwater improvements and resiliency features to mitigate flooding at the Park and surrounding neighborhoods.</t>
  </si>
  <si>
    <t>Purchase and demolish 2 residential homes to construct a stormwater retention pond to reduce repetitive flooding.</t>
  </si>
  <si>
    <t>Design and construction of a roadway and shoreline improvements near a 53-acre floodable park.</t>
  </si>
  <si>
    <t>Land acquisition to preserve natural shoreline; construction of stormwater infrastructure.</t>
  </si>
  <si>
    <t>Road elevation; repair and raise seawall; add reef balls and vegetated swales; add backflow preventers on stormwater outfalls.</t>
  </si>
  <si>
    <t>Remove 1,100 ft perimeter dike to improve exchange between impounded mangroves and Indian River Lagoon to establish a functional wetland, lessen impacts of inundation.</t>
  </si>
  <si>
    <t>Design, permit, and construct a new water treatment plant that is inland from the current plant, which is at risk to storm surge and saltwater intrusion.</t>
  </si>
  <si>
    <t>Year 3 Funding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</si>
</sst>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quot;$&quot;#,##0"/>
    <numFmt numFmtId="166" formatCode="_(&quot;$&quot;* #,##0_);_(&quot;$&quot;* \(#,##0\);_(&quot;$&quot;* &quot;-&quot;??_);_(@_)"/>
  </numFmts>
  <fonts count="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2"/>
      <color theme="0"/>
      <name val="Calibri"/>
      <family val="2"/>
      <scheme val="minor"/>
    </font>
  </fonts>
  <fills count="6">
    <fill>
      <patternFill patternType="none"/>
    </fill>
    <fill>
      <patternFill patternType="gray125"/>
    </fill>
    <fill>
      <patternFill patternType="solid">
        <fgColor rgb="FF00B050"/>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599963377788628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8">
    <xf numFmtId="0" fontId="0" fillId="0" borderId="0" xfId="0"/>
    <xf numFmtId="0" fontId="0" fillId="0" borderId="0" xfId="0" applyFill="1"/>
    <xf numFmtId="0" fontId="0" fillId="0" borderId="0" xfId="0" applyFill="1" applyAlignment="1"/>
    <xf numFmtId="0" fontId="0" fillId="0" borderId="0" xfId="0" applyFill="1" applyAlignment="1">
      <alignment horizontal="center"/>
    </xf>
    <xf numFmtId="0" fontId="0" fillId="0" borderId="0" xfId="0" applyFill="1" applyAlignment="1">
      <alignment wrapText="1"/>
    </xf>
    <xf numFmtId="0" fontId="3" fillId="0" borderId="0" xfId="0" applyFont="1" applyFill="1" applyAlignment="1">
      <alignment horizontal="right" wrapText="1"/>
    </xf>
    <xf numFmtId="165" fontId="3" fillId="0" borderId="0" xfId="0" applyNumberFormat="1" applyFont="1" applyFill="1"/>
    <xf numFmtId="0" fontId="3" fillId="0" borderId="0" xfId="0" applyFont="1" applyFill="1" applyAlignment="1">
      <alignment horizontal="center"/>
    </xf>
    <xf numFmtId="166" fontId="3" fillId="0" borderId="0" xfId="1" applyNumberFormat="1" applyFont="1" applyFill="1"/>
    <xf numFmtId="0" fontId="2" fillId="2" borderId="3" xfId="0" applyFont="1" applyFill="1" applyBorder="1" applyAlignment="1">
      <alignment horizontal="center" wrapText="1"/>
    </xf>
    <xf numFmtId="0" fontId="2" fillId="2" borderId="4" xfId="0" applyFont="1" applyFill="1" applyBorder="1" applyAlignment="1">
      <alignment wrapText="1"/>
    </xf>
    <xf numFmtId="0" fontId="0" fillId="3" borderId="1" xfId="0" applyFill="1" applyBorder="1" applyAlignment="1">
      <alignment wrapText="1"/>
    </xf>
    <xf numFmtId="0" fontId="0" fillId="3" borderId="1" xfId="0" applyFill="1" applyBorder="1" applyAlignment="1">
      <alignment vertical="center" wrapText="1"/>
    </xf>
    <xf numFmtId="165" fontId="0" fillId="3" borderId="1" xfId="0" applyNumberFormat="1" applyFill="1" applyBorder="1"/>
    <xf numFmtId="164" fontId="0" fillId="3" borderId="1" xfId="0" applyNumberFormat="1" applyFill="1" applyBorder="1" applyAlignment="1">
      <alignment horizontal="center"/>
    </xf>
    <xf numFmtId="0" fontId="0" fillId="3" borderId="1" xfId="0" applyFill="1" applyBorder="1" applyAlignment="1">
      <alignment horizontal="center"/>
    </xf>
    <xf numFmtId="164" fontId="0" fillId="3" borderId="1" xfId="2" applyNumberFormat="1" applyFont="1" applyFill="1" applyBorder="1" applyAlignment="1">
      <alignment horizontal="center"/>
    </xf>
    <xf numFmtId="166" fontId="0" fillId="3" borderId="1" xfId="1" applyNumberFormat="1" applyFont="1" applyFill="1" applyBorder="1"/>
    <xf numFmtId="0" fontId="0" fillId="3" borderId="1" xfId="0" applyFill="1" applyBorder="1" applyAlignment="1"/>
    <xf numFmtId="166" fontId="0" fillId="3" borderId="1" xfId="1" applyNumberFormat="1" applyFont="1" applyFill="1" applyBorder="1" applyAlignment="1">
      <alignment horizontal="left"/>
    </xf>
    <xf numFmtId="0" fontId="3" fillId="4" borderId="2" xfId="0" applyFont="1" applyFill="1" applyBorder="1" applyAlignment="1">
      <alignment horizontal="center"/>
    </xf>
    <xf numFmtId="0" fontId="3" fillId="4" borderId="1" xfId="0" applyFont="1" applyFill="1" applyBorder="1" applyAlignment="1">
      <alignment wrapText="1"/>
    </xf>
    <xf numFmtId="0" fontId="3" fillId="4" borderId="1" xfId="0" applyFont="1" applyFill="1" applyBorder="1" applyAlignment="1"/>
    <xf numFmtId="165" fontId="3" fillId="4" borderId="1" xfId="0" applyNumberFormat="1" applyFont="1" applyFill="1" applyBorder="1"/>
    <xf numFmtId="0" fontId="3" fillId="4" borderId="1" xfId="0" applyFont="1" applyFill="1" applyBorder="1" applyAlignment="1">
      <alignment horizontal="center"/>
    </xf>
    <xf numFmtId="166" fontId="3" fillId="4" borderId="1" xfId="1" applyNumberFormat="1" applyFont="1" applyFill="1" applyBorder="1" applyAlignment="1">
      <alignment horizontal="left"/>
    </xf>
    <xf numFmtId="0" fontId="4" fillId="2" borderId="4" xfId="0" applyFont="1" applyFill="1" applyBorder="1" applyAlignment="1">
      <alignment wrapText="1"/>
    </xf>
    <xf numFmtId="3" fontId="4" fillId="2" borderId="4" xfId="0" applyNumberFormat="1" applyFont="1" applyFill="1" applyBorder="1" applyAlignment="1">
      <alignment wrapText="1"/>
    </xf>
    <xf numFmtId="0" fontId="4" fillId="2" borderId="4" xfId="0" applyFont="1" applyFill="1" applyBorder="1" applyAlignment="1">
      <alignment horizontal="center" wrapText="1"/>
    </xf>
    <xf numFmtId="166" fontId="4" fillId="2" borderId="4" xfId="1" applyNumberFormat="1" applyFont="1" applyFill="1" applyBorder="1" applyAlignment="1">
      <alignment horizontal="left" wrapText="1"/>
    </xf>
    <xf numFmtId="165" fontId="3" fillId="0" borderId="0" xfId="0" applyNumberFormat="1" applyFont="1" applyFill="1" applyBorder="1"/>
    <xf numFmtId="164" fontId="4" fillId="2" borderId="4" xfId="2" applyNumberFormat="1" applyFont="1" applyFill="1" applyBorder="1" applyAlignment="1">
      <alignment horizontal="center" wrapText="1"/>
    </xf>
    <xf numFmtId="164" fontId="3" fillId="4" borderId="1" xfId="2" applyNumberFormat="1" applyFont="1" applyFill="1" applyBorder="1" applyAlignment="1">
      <alignment horizontal="center"/>
    </xf>
    <xf numFmtId="164" fontId="3" fillId="0" borderId="0" xfId="0" applyNumberFormat="1" applyFont="1" applyFill="1" applyAlignment="1">
      <alignment horizontal="center"/>
    </xf>
    <xf numFmtId="164" fontId="0" fillId="0" borderId="0" xfId="0" applyNumberFormat="1" applyFill="1" applyAlignment="1">
      <alignment horizontal="center"/>
    </xf>
    <xf numFmtId="165" fontId="4" fillId="2" borderId="4" xfId="2" applyNumberFormat="1" applyFont="1" applyFill="1" applyBorder="1" applyAlignment="1">
      <alignment horizontal="center" wrapText="1"/>
    </xf>
    <xf numFmtId="165" fontId="0" fillId="0" borderId="0" xfId="0" applyNumberFormat="1" applyFill="1"/>
    <xf numFmtId="166" fontId="0" fillId="5" borderId="1" xfId="1" applyNumberFormat="1" applyFont="1" applyFill="1" applyBorder="1"/>
  </cellXfs>
  <cellStyles count="3">
    <cellStyle name="Currency" xfId="1" builtinId="4"/>
    <cellStyle name="Normal" xfId="0" builtinId="0"/>
    <cellStyle name="Percent" xfId="2" builtinId="5"/>
  </cellStyles>
  <dxfs count="25">
    <dxf>
      <font>
        <b/>
        <i val="0"/>
        <strike val="0"/>
        <condense val="0"/>
        <extend val="0"/>
        <outline val="0"/>
        <shadow val="0"/>
        <u val="none"/>
        <vertAlign val="baseline"/>
        <sz val="11"/>
        <color theme="1"/>
        <name val="Calibri"/>
        <family val="2"/>
        <scheme val="minor"/>
      </font>
      <numFmt numFmtId="166" formatCode="_(&quot;$&quot;* #,##0_);_(&quot;$&quot;* \(#,##0\);_(&quot;$&quot;* &quot;-&quot;??_);_(@_)"/>
      <fill>
        <patternFill patternType="none">
          <fgColor indexed="64"/>
          <bgColor indexed="65"/>
        </patternFill>
      </fill>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numFmt numFmtId="166" formatCode="_(&quot;$&quot;* #,##0_);_(&quot;$&quot;* \(#,##0\);_(&quot;$&quot;* &quot;-&quot;??_);_(@_)"/>
      <fill>
        <patternFill patternType="none">
          <fgColor indexed="64"/>
          <bgColor indexed="65"/>
        </patternFill>
      </fill>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numFmt numFmtId="166" formatCode="_(&quot;$&quot;* #,##0_);_(&quot;$&quot;* \(#,##0\);_(&quot;$&quot;* &quot;-&quot;??_);_(@_)"/>
      <fill>
        <patternFill patternType="none">
          <fgColor indexed="64"/>
          <bgColor indexed="65"/>
        </patternFill>
      </fill>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border diagonalUp="0" diagonalDown="0" outline="0">
        <left/>
        <right/>
        <top style="thin">
          <color indexed="64"/>
        </top>
        <bottom/>
      </border>
    </dxf>
    <dxf>
      <font>
        <b/>
        <i val="0"/>
        <strike val="0"/>
        <condense val="0"/>
        <extend val="0"/>
        <outline val="0"/>
        <shadow val="0"/>
        <u val="none"/>
        <vertAlign val="baseline"/>
        <sz val="11"/>
        <color theme="1"/>
        <name val="Calibri"/>
        <family val="2"/>
        <scheme val="minor"/>
      </font>
      <numFmt numFmtId="165" formatCode="&quot;$&quot;#,##0"/>
      <fill>
        <patternFill patternType="none">
          <fgColor indexed="64"/>
          <bgColor indexed="65"/>
        </patternFill>
      </fill>
      <border diagonalUp="0" diagonalDown="0" outline="0">
        <left/>
        <right/>
        <top style="thin">
          <color indexed="64"/>
        </top>
        <bottom/>
      </border>
    </dxf>
    <dxf>
      <numFmt numFmtId="165" formatCode="&quot;$&quot;#,##0"/>
    </dxf>
    <dxf>
      <font>
        <b val="0"/>
        <i val="0"/>
        <strike val="0"/>
        <condense val="0"/>
        <extend val="0"/>
        <outline val="0"/>
        <shadow val="0"/>
        <u val="none"/>
        <vertAlign val="baseline"/>
        <sz val="11"/>
        <color theme="1"/>
        <name val="Calibri"/>
        <family val="2"/>
        <scheme val="minor"/>
      </font>
      <numFmt numFmtId="164" formatCode="0.0%"/>
      <fill>
        <patternFill patternType="none">
          <fgColor indexed="64"/>
          <bgColor indexed="65"/>
        </patternFill>
      </fill>
      <alignment horizontal="center" vertical="bottom" textRotation="0" wrapText="0" indent="0" justifyLastLine="0" shrinkToFit="0" readingOrder="0"/>
      <border diagonalUp="0" diagonalDown="0" outline="0">
        <left/>
        <right/>
        <top style="thin">
          <color indexed="64"/>
        </top>
        <bottom/>
      </border>
    </dxf>
    <dxf>
      <numFmt numFmtId="164" formatCode="0.0%"/>
    </dxf>
    <dxf>
      <numFmt numFmtId="165" formatCode="&quot;$&quot;#,##0"/>
      <fill>
        <patternFill patternType="none">
          <fgColor indexed="64"/>
          <bgColor indexed="65"/>
        </patternFill>
      </fill>
      <border diagonalUp="0" diagonalDown="0" outline="0">
        <left/>
        <right/>
        <top style="thin">
          <color indexed="64"/>
        </top>
        <bottom/>
      </border>
    </dxf>
    <dxf>
      <fill>
        <patternFill patternType="none">
          <fgColor indexed="64"/>
          <bgColor indexed="65"/>
        </patternFill>
      </fill>
      <alignment horizontal="general" vertical="center" textRotation="0" wrapText="1" indent="0" justifyLastLine="0" shrinkToFit="0" readingOrder="0"/>
      <border diagonalUp="0" diagonalDown="0" outline="0">
        <left/>
        <right/>
        <top style="thin">
          <color indexed="64"/>
        </top>
        <bottom/>
      </border>
    </dxf>
    <dxf>
      <fill>
        <patternFill patternType="none">
          <fgColor indexed="64"/>
          <bgColor indexed="65"/>
        </patternFill>
      </fill>
      <alignment horizontal="general" vertical="bottom" textRotation="0" wrapText="1" indent="0" justifyLastLine="0" shrinkToFit="0" readingOrder="0"/>
      <border diagonalUp="0" diagonalDown="0" outline="0">
        <left/>
        <right/>
        <top style="thin">
          <color indexed="64"/>
        </top>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1" indent="0" justifyLastLine="0" shrinkToFit="0" readingOrder="0"/>
      <border diagonalUp="0" diagonalDown="0" outline="0">
        <left/>
        <right/>
        <top style="thin">
          <color indexed="64"/>
        </top>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0" indent="0" justifyLastLine="0" shrinkToFit="0" readingOrder="0"/>
      <border diagonalUp="0" diagonalDown="0" outline="0">
        <left/>
        <right/>
        <top style="thin">
          <color indexed="64"/>
        </top>
        <bottom/>
      </border>
    </dxf>
    <dxf>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1" indent="0" justifyLastLine="0" shrinkToFit="0" readingOrder="0"/>
      <border diagonalUp="0" diagonalDown="0" outline="0">
        <left/>
        <right/>
        <top style="thin">
          <color indexed="64"/>
        </top>
        <bottom/>
      </border>
    </dxf>
    <dxf>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bottom" textRotation="0" wrapText="0" indent="0" justifyLastLine="0" shrinkToFit="0" readingOrder="0"/>
      <border diagonalUp="0" diagonalDown="0" outline="0">
        <left/>
        <right/>
        <top style="thin">
          <color indexed="64"/>
        </top>
        <bottom/>
      </border>
    </dxf>
    <dxf>
      <fill>
        <patternFill patternType="none">
          <fgColor indexed="64"/>
          <bgColor auto="1"/>
        </patternFill>
      </fil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00B050"/>
        </patternFill>
      </fill>
      <alignment horizontal="general" vertical="bottom"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527E36A-41F4-4C25-AAA2-E1234E34DD28}" name="Table3" displayName="Table3" ref="A1:M93" totalsRowShown="0" headerRowDxfId="24" dataDxfId="22" headerRowBorderDxfId="23" tableBorderDxfId="21" totalsRowBorderDxfId="20">
  <sortState xmlns:xlrd2="http://schemas.microsoft.com/office/spreadsheetml/2017/richdata2" ref="A2:M93">
    <sortCondition descending="1" ref="A1:A93"/>
  </sortState>
  <tableColumns count="13">
    <tableColumn id="1" xr3:uid="{90B5C11C-3909-4751-8571-A2D22C0B103C}" name="Project Score" dataDxfId="19" totalsRowDxfId="18"/>
    <tableColumn id="3" xr3:uid="{AC4A1018-8E2A-4527-BFDF-21F9419BF51A}" name="Project Sponsor" dataDxfId="17" totalsRowDxfId="16"/>
    <tableColumn id="4" xr3:uid="{80D20FF6-A4E9-433D-9323-60FB118E79FB}" name="County" dataDxfId="15" totalsRowDxfId="14"/>
    <tableColumn id="5" xr3:uid="{15317CB7-4D39-4E1A-A544-4080DC8179DD}" name=" Project Title" dataDxfId="13" totalsRowDxfId="12"/>
    <tableColumn id="6" xr3:uid="{5E063924-7D8C-40F7-99E5-498D7DE72AAB}" name="Project Location" dataDxfId="11" totalsRowDxfId="10"/>
    <tableColumn id="7" xr3:uid="{512FAE86-84DC-489D-914C-294D88D2721B}" name="Project Summary" totalsRowDxfId="9"/>
    <tableColumn id="8" xr3:uid="{892DD3A5-DF66-49B3-AD6C-C5D9B0FA9FAD}" name="Approximate Total Project Cost (dollars)" totalsRowDxfId="8">
      <calculatedColumnFormula>Table3[[#This Row],[Estimated Requested Funding Total (dollars)]]/(1-(Table3[[#This Row],[Cost share ]]))</calculatedColumnFormula>
    </tableColumn>
    <tableColumn id="9" xr3:uid="{F983885A-07B5-4B83-8286-7319BD72C46D}" name="Cost share " dataDxfId="7" totalsRowDxfId="6" dataCellStyle="Percent"/>
    <tableColumn id="10" xr3:uid="{2287B7C2-B265-4000-8315-7F14969B78A7}" name="Estimated Requested Funding Total (dollars)" dataDxfId="5" totalsRowDxfId="4">
      <calculatedColumnFormula>Table3[[#This Row],[Year 1 Funding]]+Table3[[#This Row],[Year 2 Funding]]+Table3[[#This Row],[Year 3 Funding]]</calculatedColumnFormula>
    </tableColumn>
    <tableColumn id="12" xr3:uid="{47C7FD17-F2DF-45D9-9BB0-BAF27E3732BB}" name="Project Duration (years)" totalsRowDxfId="3"/>
    <tableColumn id="13" xr3:uid="{389C1CC4-8B24-4222-A7B4-E73525B13909}" name="Year 1 Funding" totalsRowDxfId="2" dataCellStyle="Currency"/>
    <tableColumn id="14" xr3:uid="{E9AFB231-2DA4-4A94-AB3C-0F534457DF9C}" name="Year 2 Funding" totalsRowDxfId="1" dataCellStyle="Currency"/>
    <tableColumn id="15" xr3:uid="{E5AC9834-301A-4880-8A80-980EE799AA29}" name="Year 3 Funding" totalsRowDxfId="0" dataCellStyle="Currency"/>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92F85-3B76-4782-A92F-56123E324FCE}">
  <dimension ref="A1:M94"/>
  <sheetViews>
    <sheetView tabSelected="1" topLeftCell="B1" zoomScale="70" zoomScaleNormal="70" workbookViewId="0">
      <pane ySplit="1" topLeftCell="A89" activePane="bottomLeft" state="frozen"/>
      <selection pane="bottomLeft" activeCell="K96" sqref="K96"/>
    </sheetView>
  </sheetViews>
  <sheetFormatPr defaultColWidth="9.140625" defaultRowHeight="15" x14ac:dyDescent="0.25"/>
  <cols>
    <col min="1" max="1" width="8.42578125" style="3" customWidth="1"/>
    <col min="2" max="2" width="27" style="4" customWidth="1"/>
    <col min="3" max="3" width="15.42578125" style="2" customWidth="1"/>
    <col min="4" max="4" width="31.140625" style="4" customWidth="1"/>
    <col min="5" max="5" width="25.140625" style="4" customWidth="1"/>
    <col min="6" max="6" width="56" style="4" customWidth="1"/>
    <col min="7" max="7" width="18" style="1" customWidth="1"/>
    <col min="8" max="8" width="13.5703125" style="34" customWidth="1"/>
    <col min="9" max="9" width="19.28515625" style="36" customWidth="1"/>
    <col min="10" max="10" width="10.140625" style="3" customWidth="1"/>
    <col min="11" max="11" width="20.85546875" style="1" customWidth="1"/>
    <col min="12" max="12" width="21" style="1" customWidth="1"/>
    <col min="13" max="13" width="22" style="1" customWidth="1"/>
    <col min="14" max="16384" width="9.140625" style="1"/>
  </cols>
  <sheetData>
    <row r="1" spans="1:13" s="2" customFormat="1" ht="47.25" customHeight="1" x14ac:dyDescent="0.25">
      <c r="A1" s="9" t="s">
        <v>0</v>
      </c>
      <c r="B1" s="10" t="s">
        <v>1</v>
      </c>
      <c r="C1" s="10" t="s">
        <v>2</v>
      </c>
      <c r="D1" s="10" t="s">
        <v>3</v>
      </c>
      <c r="E1" s="26" t="s">
        <v>4</v>
      </c>
      <c r="F1" s="26" t="s">
        <v>5</v>
      </c>
      <c r="G1" s="27" t="s">
        <v>302</v>
      </c>
      <c r="H1" s="31" t="s">
        <v>6</v>
      </c>
      <c r="I1" s="35" t="s">
        <v>306</v>
      </c>
      <c r="J1" s="28" t="s">
        <v>307</v>
      </c>
      <c r="K1" s="29" t="s">
        <v>7</v>
      </c>
      <c r="L1" s="29" t="s">
        <v>8</v>
      </c>
      <c r="M1" s="29" t="s">
        <v>349</v>
      </c>
    </row>
    <row r="2" spans="1:13" ht="30" x14ac:dyDescent="0.25">
      <c r="A2" s="15">
        <v>75.099999999999994</v>
      </c>
      <c r="B2" s="11" t="s">
        <v>9</v>
      </c>
      <c r="C2" s="18" t="s">
        <v>10</v>
      </c>
      <c r="D2" s="11" t="s">
        <v>11</v>
      </c>
      <c r="E2" s="11" t="s">
        <v>12</v>
      </c>
      <c r="F2" s="12" t="s">
        <v>344</v>
      </c>
      <c r="G2" s="13">
        <f>Table3[[#This Row],[Estimated Requested Funding Total (dollars)]]/(1-(Table3[[#This Row],[Cost share ]]))</f>
        <v>2500000</v>
      </c>
      <c r="H2" s="16">
        <v>0.5</v>
      </c>
      <c r="I2" s="13">
        <f>Table3[[#This Row],[Year 1 Funding]]+Table3[[#This Row],[Year 2 Funding]]+Table3[[#This Row],[Year 3 Funding]]</f>
        <v>1250000</v>
      </c>
      <c r="J2" s="15">
        <v>4</v>
      </c>
      <c r="K2" s="17">
        <f>63000+15000</f>
        <v>78000</v>
      </c>
      <c r="L2" s="17">
        <f>712000+460000</f>
        <v>1172000</v>
      </c>
      <c r="M2" s="37"/>
    </row>
    <row r="3" spans="1:13" ht="30" x14ac:dyDescent="0.25">
      <c r="A3" s="15">
        <v>67.349999999999994</v>
      </c>
      <c r="B3" s="11" t="s">
        <v>13</v>
      </c>
      <c r="C3" s="18" t="s">
        <v>14</v>
      </c>
      <c r="D3" s="11" t="s">
        <v>15</v>
      </c>
      <c r="E3" s="11" t="s">
        <v>16</v>
      </c>
      <c r="F3" s="12" t="s">
        <v>345</v>
      </c>
      <c r="G3" s="13">
        <f>Table3[[#This Row],[Estimated Requested Funding Total (dollars)]]/(1-(Table3[[#This Row],[Cost share ]]))</f>
        <v>6000000</v>
      </c>
      <c r="H3" s="16">
        <v>0.5</v>
      </c>
      <c r="I3" s="13">
        <f>Table3[[#This Row],[Year 1 Funding]]+Table3[[#This Row],[Year 2 Funding]]+Table3[[#This Row],[Year 3 Funding]]</f>
        <v>3000000</v>
      </c>
      <c r="J3" s="15">
        <v>1</v>
      </c>
      <c r="K3" s="17">
        <v>3000000</v>
      </c>
      <c r="L3" s="37"/>
      <c r="M3" s="37"/>
    </row>
    <row r="4" spans="1:13" ht="60" x14ac:dyDescent="0.25">
      <c r="A4" s="15">
        <v>64.260000000000005</v>
      </c>
      <c r="B4" s="11" t="s">
        <v>18</v>
      </c>
      <c r="C4" s="18" t="s">
        <v>19</v>
      </c>
      <c r="D4" s="11" t="s">
        <v>20</v>
      </c>
      <c r="E4" s="11" t="s">
        <v>21</v>
      </c>
      <c r="F4" s="12" t="s">
        <v>312</v>
      </c>
      <c r="G4" s="13">
        <f>Table3[[#This Row],[Estimated Requested Funding Total (dollars)]]/(1-(Table3[[#This Row],[Cost share ]]))</f>
        <v>769230.76923076925</v>
      </c>
      <c r="H4" s="16">
        <v>0.61</v>
      </c>
      <c r="I4" s="13">
        <f>Table3[[#This Row],[Year 1 Funding]]+Table3[[#This Row],[Year 2 Funding]]+Table3[[#This Row],[Year 3 Funding]]</f>
        <v>300000</v>
      </c>
      <c r="J4" s="15">
        <v>2</v>
      </c>
      <c r="K4" s="17">
        <v>180000</v>
      </c>
      <c r="L4" s="17">
        <v>120000</v>
      </c>
      <c r="M4" s="37"/>
    </row>
    <row r="5" spans="1:13" ht="57.6" customHeight="1" x14ac:dyDescent="0.25">
      <c r="A5" s="15">
        <v>61.85</v>
      </c>
      <c r="B5" s="11" t="s">
        <v>22</v>
      </c>
      <c r="C5" s="18" t="s">
        <v>23</v>
      </c>
      <c r="D5" s="11" t="s">
        <v>24</v>
      </c>
      <c r="E5" s="11" t="s">
        <v>25</v>
      </c>
      <c r="F5" s="12" t="s">
        <v>313</v>
      </c>
      <c r="G5" s="13">
        <f>Table3[[#This Row],[Estimated Requested Funding Total (dollars)]]/(1-(Table3[[#This Row],[Cost share ]]))</f>
        <v>4084000</v>
      </c>
      <c r="H5" s="16">
        <v>0.5</v>
      </c>
      <c r="I5" s="13">
        <f>Table3[[#This Row],[Year 1 Funding]]+Table3[[#This Row],[Year 2 Funding]]+Table3[[#This Row],[Year 3 Funding]]</f>
        <v>2042000</v>
      </c>
      <c r="J5" s="15">
        <v>2</v>
      </c>
      <c r="K5" s="17">
        <v>510500</v>
      </c>
      <c r="L5" s="17">
        <v>1531500</v>
      </c>
      <c r="M5" s="37"/>
    </row>
    <row r="6" spans="1:13" ht="45" x14ac:dyDescent="0.25">
      <c r="A6" s="15">
        <v>60.35</v>
      </c>
      <c r="B6" s="11" t="s">
        <v>27</v>
      </c>
      <c r="C6" s="18" t="s">
        <v>28</v>
      </c>
      <c r="D6" s="11" t="s">
        <v>29</v>
      </c>
      <c r="E6" s="11" t="s">
        <v>30</v>
      </c>
      <c r="F6" s="12" t="s">
        <v>346</v>
      </c>
      <c r="G6" s="13">
        <f>Table3[[#This Row],[Estimated Requested Funding Total (dollars)]]/(1-(Table3[[#This Row],[Cost share ]]))</f>
        <v>1250000</v>
      </c>
      <c r="H6" s="16">
        <v>0.5</v>
      </c>
      <c r="I6" s="13">
        <f>Table3[[#This Row],[Year 1 Funding]]+Table3[[#This Row],[Year 2 Funding]]+Table3[[#This Row],[Year 3 Funding]]</f>
        <v>625000</v>
      </c>
      <c r="J6" s="15">
        <v>3</v>
      </c>
      <c r="K6" s="17">
        <v>75000</v>
      </c>
      <c r="L6" s="17">
        <v>550000</v>
      </c>
      <c r="M6" s="37"/>
    </row>
    <row r="7" spans="1:13" ht="96.75" customHeight="1" x14ac:dyDescent="0.25">
      <c r="A7" s="15">
        <v>59.010000000000005</v>
      </c>
      <c r="B7" s="11" t="s">
        <v>32</v>
      </c>
      <c r="C7" s="18" t="s">
        <v>23</v>
      </c>
      <c r="D7" s="11" t="s">
        <v>33</v>
      </c>
      <c r="E7" s="11" t="s">
        <v>34</v>
      </c>
      <c r="F7" s="12" t="s">
        <v>35</v>
      </c>
      <c r="G7" s="13">
        <f>Table3[[#This Row],[Estimated Requested Funding Total (dollars)]]/(1-(Table3[[#This Row],[Cost share ]]))</f>
        <v>67034196.666666657</v>
      </c>
      <c r="H7" s="16">
        <v>0.7</v>
      </c>
      <c r="I7" s="13">
        <f>Table3[[#This Row],[Year 1 Funding]]+Table3[[#This Row],[Year 2 Funding]]+Table3[[#This Row],[Year 3 Funding]]</f>
        <v>20110259</v>
      </c>
      <c r="J7" s="15">
        <v>6</v>
      </c>
      <c r="K7" s="17">
        <v>9805129.5</v>
      </c>
      <c r="L7" s="17">
        <v>9805129.5</v>
      </c>
      <c r="M7" s="17">
        <v>500000</v>
      </c>
    </row>
    <row r="8" spans="1:13" ht="83.25" customHeight="1" x14ac:dyDescent="0.25">
      <c r="A8" s="15">
        <v>58.760000000000005</v>
      </c>
      <c r="B8" s="11" t="s">
        <v>36</v>
      </c>
      <c r="C8" s="18" t="s">
        <v>37</v>
      </c>
      <c r="D8" s="11" t="s">
        <v>38</v>
      </c>
      <c r="E8" s="11" t="s">
        <v>39</v>
      </c>
      <c r="F8" s="12" t="s">
        <v>40</v>
      </c>
      <c r="G8" s="13">
        <f>Table3[[#This Row],[Estimated Requested Funding Total (dollars)]]/(1-(Table3[[#This Row],[Cost share ]]))</f>
        <v>800000</v>
      </c>
      <c r="H8" s="16">
        <v>0.5</v>
      </c>
      <c r="I8" s="13">
        <f>Table3[[#This Row],[Year 1 Funding]]+Table3[[#This Row],[Year 2 Funding]]+Table3[[#This Row],[Year 3 Funding]]</f>
        <v>400000</v>
      </c>
      <c r="J8" s="15">
        <v>4</v>
      </c>
      <c r="K8" s="17">
        <v>40000</v>
      </c>
      <c r="L8" s="17">
        <v>360000</v>
      </c>
      <c r="M8" s="37"/>
    </row>
    <row r="9" spans="1:13" ht="110.25" customHeight="1" x14ac:dyDescent="0.25">
      <c r="A9" s="15">
        <v>58.35</v>
      </c>
      <c r="B9" s="11" t="s">
        <v>41</v>
      </c>
      <c r="C9" s="18" t="s">
        <v>42</v>
      </c>
      <c r="D9" s="11" t="s">
        <v>43</v>
      </c>
      <c r="E9" s="11" t="s">
        <v>44</v>
      </c>
      <c r="F9" s="12" t="s">
        <v>314</v>
      </c>
      <c r="G9" s="13">
        <f>Table3[[#This Row],[Estimated Requested Funding Total (dollars)]]/(1-(Table3[[#This Row],[Cost share ]]))</f>
        <v>1313237.777777778</v>
      </c>
      <c r="H9" s="14">
        <v>0.55000000000000004</v>
      </c>
      <c r="I9" s="13">
        <f>Table3[[#This Row],[Year 1 Funding]]+Table3[[#This Row],[Year 2 Funding]]+Table3[[#This Row],[Year 3 Funding]]</f>
        <v>590957</v>
      </c>
      <c r="J9" s="15">
        <v>4</v>
      </c>
      <c r="K9" s="13">
        <f>3255+4399+6667+13191</f>
        <v>27512</v>
      </c>
      <c r="L9" s="13">
        <f>40000+105528+1339+2750</f>
        <v>149617</v>
      </c>
      <c r="M9" s="13">
        <f>3333+8036+4715+377744+20000</f>
        <v>413828</v>
      </c>
    </row>
    <row r="10" spans="1:13" ht="157.5" customHeight="1" x14ac:dyDescent="0.25">
      <c r="A10" s="15">
        <v>58.35</v>
      </c>
      <c r="B10" s="11" t="s">
        <v>45</v>
      </c>
      <c r="C10" s="18" t="s">
        <v>46</v>
      </c>
      <c r="D10" s="11" t="s">
        <v>47</v>
      </c>
      <c r="E10" s="11" t="s">
        <v>48</v>
      </c>
      <c r="F10" s="12" t="s">
        <v>316</v>
      </c>
      <c r="G10" s="13">
        <f>Table3[[#This Row],[Estimated Requested Funding Total (dollars)]]/(1-(Table3[[#This Row],[Cost share ]]))</f>
        <v>4334739.5348837208</v>
      </c>
      <c r="H10" s="16">
        <v>0.56999999999999995</v>
      </c>
      <c r="I10" s="13">
        <f>Table3[[#This Row],[Year 1 Funding]]+Table3[[#This Row],[Year 2 Funding]]+Table3[[#This Row],[Year 3 Funding]]</f>
        <v>1863938</v>
      </c>
      <c r="J10" s="15">
        <v>3</v>
      </c>
      <c r="K10" s="17">
        <v>659938</v>
      </c>
      <c r="L10" s="17">
        <v>954000</v>
      </c>
      <c r="M10" s="17">
        <v>250000</v>
      </c>
    </row>
    <row r="11" spans="1:13" ht="60" x14ac:dyDescent="0.25">
      <c r="A11" s="15">
        <v>57.95</v>
      </c>
      <c r="B11" s="11" t="s">
        <v>49</v>
      </c>
      <c r="C11" s="18" t="s">
        <v>50</v>
      </c>
      <c r="D11" s="11" t="s">
        <v>51</v>
      </c>
      <c r="E11" s="11" t="s">
        <v>52</v>
      </c>
      <c r="F11" s="12" t="s">
        <v>315</v>
      </c>
      <c r="G11" s="13">
        <f>Table3[[#This Row],[Estimated Requested Funding Total (dollars)]]/(1-(Table3[[#This Row],[Cost share ]]))</f>
        <v>8390000</v>
      </c>
      <c r="H11" s="14">
        <v>0.5</v>
      </c>
      <c r="I11" s="13">
        <f>Table3[[#This Row],[Year 1 Funding]]+Table3[[#This Row],[Year 2 Funding]]+Table3[[#This Row],[Year 3 Funding]]</f>
        <v>4195000</v>
      </c>
      <c r="J11" s="15">
        <v>4</v>
      </c>
      <c r="K11" s="13">
        <v>2097500</v>
      </c>
      <c r="L11" s="13">
        <v>2097500</v>
      </c>
      <c r="M11" s="37"/>
    </row>
    <row r="12" spans="1:13" ht="90" x14ac:dyDescent="0.25">
      <c r="A12" s="15">
        <v>55.75</v>
      </c>
      <c r="B12" s="11" t="s">
        <v>56</v>
      </c>
      <c r="C12" s="18" t="s">
        <v>53</v>
      </c>
      <c r="D12" s="11" t="s">
        <v>57</v>
      </c>
      <c r="E12" s="11" t="s">
        <v>58</v>
      </c>
      <c r="F12" s="12" t="s">
        <v>317</v>
      </c>
      <c r="G12" s="13">
        <f>Table3[[#This Row],[Estimated Requested Funding Total (dollars)]]/(1-(Table3[[#This Row],[Cost share ]]))</f>
        <v>39600000</v>
      </c>
      <c r="H12" s="16">
        <v>0.5</v>
      </c>
      <c r="I12" s="13">
        <f>Table3[[#This Row],[Year 1 Funding]]+Table3[[#This Row],[Year 2 Funding]]+Table3[[#This Row],[Year 3 Funding]]</f>
        <v>19800000</v>
      </c>
      <c r="J12" s="15">
        <v>5</v>
      </c>
      <c r="K12" s="17">
        <v>6600000</v>
      </c>
      <c r="L12" s="17">
        <v>6600000</v>
      </c>
      <c r="M12" s="17">
        <v>6600000</v>
      </c>
    </row>
    <row r="13" spans="1:13" ht="70.5" customHeight="1" x14ac:dyDescent="0.25">
      <c r="A13" s="15">
        <v>54.35</v>
      </c>
      <c r="B13" s="11" t="s">
        <v>61</v>
      </c>
      <c r="C13" s="18" t="s">
        <v>31</v>
      </c>
      <c r="D13" s="11" t="s">
        <v>62</v>
      </c>
      <c r="E13" s="11" t="s">
        <v>63</v>
      </c>
      <c r="F13" s="12" t="s">
        <v>64</v>
      </c>
      <c r="G13" s="13">
        <f>Table3[[#This Row],[Estimated Requested Funding Total (dollars)]]/(1-(Table3[[#This Row],[Cost share ]]))</f>
        <v>626066</v>
      </c>
      <c r="H13" s="16">
        <v>0.5</v>
      </c>
      <c r="I13" s="13">
        <f>Table3[[#This Row],[Year 1 Funding]]+Table3[[#This Row],[Year 2 Funding]]+Table3[[#This Row],[Year 3 Funding]]</f>
        <v>313033</v>
      </c>
      <c r="J13" s="15">
        <v>2</v>
      </c>
      <c r="K13" s="17">
        <v>24079</v>
      </c>
      <c r="L13" s="17">
        <v>288954</v>
      </c>
      <c r="M13" s="37"/>
    </row>
    <row r="14" spans="1:13" ht="60" x14ac:dyDescent="0.25">
      <c r="A14" s="15">
        <v>53.260000000000005</v>
      </c>
      <c r="B14" s="11" t="s">
        <v>32</v>
      </c>
      <c r="C14" s="18" t="s">
        <v>23</v>
      </c>
      <c r="D14" s="11" t="s">
        <v>66</v>
      </c>
      <c r="E14" s="11" t="s">
        <v>34</v>
      </c>
      <c r="F14" s="12" t="s">
        <v>318</v>
      </c>
      <c r="G14" s="13">
        <f>Table3[[#This Row],[Estimated Requested Funding Total (dollars)]]/(1-(Table3[[#This Row],[Cost share ]]))</f>
        <v>17171142.857142858</v>
      </c>
      <c r="H14" s="16">
        <v>0.51</v>
      </c>
      <c r="I14" s="13">
        <f>Table3[[#This Row],[Year 1 Funding]]+Table3[[#This Row],[Year 2 Funding]]+Table3[[#This Row],[Year 3 Funding]]</f>
        <v>8413860</v>
      </c>
      <c r="J14" s="15">
        <v>3</v>
      </c>
      <c r="K14" s="17">
        <f>1815330</f>
        <v>1815330</v>
      </c>
      <c r="L14" s="17">
        <v>6598530</v>
      </c>
      <c r="M14" s="37"/>
    </row>
    <row r="15" spans="1:13" ht="30" x14ac:dyDescent="0.25">
      <c r="A15" s="15">
        <v>52.5</v>
      </c>
      <c r="B15" s="11" t="s">
        <v>67</v>
      </c>
      <c r="C15" s="18" t="s">
        <v>60</v>
      </c>
      <c r="D15" s="11" t="s">
        <v>68</v>
      </c>
      <c r="E15" s="11" t="s">
        <v>69</v>
      </c>
      <c r="F15" s="12" t="s">
        <v>70</v>
      </c>
      <c r="G15" s="13">
        <f>Table3[[#This Row],[Estimated Requested Funding Total (dollars)]]/(1-(Table3[[#This Row],[Cost share ]]))</f>
        <v>3000000</v>
      </c>
      <c r="H15" s="16">
        <v>0.5</v>
      </c>
      <c r="I15" s="13">
        <f>Table3[[#This Row],[Year 1 Funding]]+Table3[[#This Row],[Year 2 Funding]]+Table3[[#This Row],[Year 3 Funding]]</f>
        <v>1500000</v>
      </c>
      <c r="J15" s="15">
        <v>1</v>
      </c>
      <c r="K15" s="17">
        <v>1500000</v>
      </c>
      <c r="L15" s="37"/>
      <c r="M15" s="37"/>
    </row>
    <row r="16" spans="1:13" ht="90" x14ac:dyDescent="0.25">
      <c r="A16" s="15">
        <v>51.85</v>
      </c>
      <c r="B16" s="11" t="s">
        <v>71</v>
      </c>
      <c r="C16" s="18" t="s">
        <v>31</v>
      </c>
      <c r="D16" s="11" t="s">
        <v>72</v>
      </c>
      <c r="E16" s="11" t="s">
        <v>73</v>
      </c>
      <c r="F16" s="12" t="s">
        <v>74</v>
      </c>
      <c r="G16" s="13">
        <f>Table3[[#This Row],[Estimated Requested Funding Total (dollars)]]/(1-(Table3[[#This Row],[Cost share ]]))</f>
        <v>7100000</v>
      </c>
      <c r="H16" s="16">
        <v>0.5</v>
      </c>
      <c r="I16" s="13">
        <f>Table3[[#This Row],[Year 1 Funding]]+Table3[[#This Row],[Year 2 Funding]]+Table3[[#This Row],[Year 3 Funding]]</f>
        <v>3550000</v>
      </c>
      <c r="J16" s="15">
        <v>4</v>
      </c>
      <c r="K16" s="17">
        <v>466500</v>
      </c>
      <c r="L16" s="17">
        <v>3083500</v>
      </c>
      <c r="M16" s="37"/>
    </row>
    <row r="17" spans="1:13" ht="75" x14ac:dyDescent="0.25">
      <c r="A17" s="15">
        <v>50.85</v>
      </c>
      <c r="B17" s="11" t="s">
        <v>75</v>
      </c>
      <c r="C17" s="18" t="s">
        <v>37</v>
      </c>
      <c r="D17" s="11" t="s">
        <v>76</v>
      </c>
      <c r="E17" s="11" t="s">
        <v>77</v>
      </c>
      <c r="F17" s="12" t="s">
        <v>319</v>
      </c>
      <c r="G17" s="13">
        <f>Table3[[#This Row],[Estimated Requested Funding Total (dollars)]]/(1-(Table3[[#This Row],[Cost share ]]))</f>
        <v>1500000</v>
      </c>
      <c r="H17" s="16">
        <v>0.5</v>
      </c>
      <c r="I17" s="13">
        <f>Table3[[#This Row],[Year 1 Funding]]+Table3[[#This Row],[Year 2 Funding]]+Table3[[#This Row],[Year 3 Funding]]</f>
        <v>750000</v>
      </c>
      <c r="J17" s="15">
        <v>3</v>
      </c>
      <c r="K17" s="17">
        <v>150000</v>
      </c>
      <c r="L17" s="17">
        <v>600000</v>
      </c>
      <c r="M17" s="37"/>
    </row>
    <row r="18" spans="1:13" ht="75" x14ac:dyDescent="0.25">
      <c r="A18" s="15">
        <v>50.41</v>
      </c>
      <c r="B18" s="11" t="s">
        <v>79</v>
      </c>
      <c r="C18" s="18" t="s">
        <v>37</v>
      </c>
      <c r="D18" s="11" t="s">
        <v>80</v>
      </c>
      <c r="E18" s="11" t="s">
        <v>79</v>
      </c>
      <c r="F18" s="12" t="s">
        <v>320</v>
      </c>
      <c r="G18" s="13">
        <f>Table3[[#This Row],[Estimated Requested Funding Total (dollars)]]/(1-(Table3[[#This Row],[Cost share ]]))</f>
        <v>4599816.0073597059</v>
      </c>
      <c r="H18" s="16">
        <v>0.56520000000000004</v>
      </c>
      <c r="I18" s="13">
        <f>Table3[[#This Row],[Year 1 Funding]]+Table3[[#This Row],[Year 2 Funding]]+Table3[[#This Row],[Year 3 Funding]]</f>
        <v>2000000</v>
      </c>
      <c r="J18" s="15">
        <v>3</v>
      </c>
      <c r="K18" s="17">
        <v>1000000</v>
      </c>
      <c r="L18" s="17">
        <v>1000000</v>
      </c>
      <c r="M18" s="37"/>
    </row>
    <row r="19" spans="1:13" ht="75" x14ac:dyDescent="0.25">
      <c r="A19" s="15">
        <v>50.010000000000005</v>
      </c>
      <c r="B19" s="11" t="s">
        <v>81</v>
      </c>
      <c r="C19" s="18" t="s">
        <v>55</v>
      </c>
      <c r="D19" s="11" t="s">
        <v>82</v>
      </c>
      <c r="E19" s="11" t="s">
        <v>83</v>
      </c>
      <c r="F19" s="12" t="s">
        <v>321</v>
      </c>
      <c r="G19" s="13">
        <f>Table3[[#This Row],[Estimated Requested Funding Total (dollars)]]/(1-(Table3[[#This Row],[Cost share ]]))</f>
        <v>540540.54054054059</v>
      </c>
      <c r="H19" s="16">
        <v>0.63</v>
      </c>
      <c r="I19" s="13">
        <f>Table3[[#This Row],[Year 1 Funding]]+Table3[[#This Row],[Year 2 Funding]]+Table3[[#This Row],[Year 3 Funding]]</f>
        <v>200000</v>
      </c>
      <c r="J19" s="15">
        <v>4</v>
      </c>
      <c r="K19" s="17">
        <v>30000</v>
      </c>
      <c r="L19" s="17">
        <v>70000</v>
      </c>
      <c r="M19" s="17">
        <v>100000</v>
      </c>
    </row>
    <row r="20" spans="1:13" ht="75" x14ac:dyDescent="0.25">
      <c r="A20" s="15">
        <v>49.75</v>
      </c>
      <c r="B20" s="11" t="s">
        <v>61</v>
      </c>
      <c r="C20" s="18" t="s">
        <v>91</v>
      </c>
      <c r="D20" s="11" t="s">
        <v>92</v>
      </c>
      <c r="E20" s="11" t="s">
        <v>63</v>
      </c>
      <c r="F20" s="12" t="s">
        <v>303</v>
      </c>
      <c r="G20" s="13">
        <f>Table3[[#This Row],[Estimated Requested Funding Total (dollars)]]/(1-(Table3[[#This Row],[Cost share ]]))</f>
        <v>6099818</v>
      </c>
      <c r="H20" s="16">
        <v>0.5</v>
      </c>
      <c r="I20" s="13">
        <f>Table3[[#This Row],[Year 1 Funding]]+Table3[[#This Row],[Year 2 Funding]]+Table3[[#This Row],[Year 3 Funding]]</f>
        <v>3049909</v>
      </c>
      <c r="J20" s="15">
        <v>3</v>
      </c>
      <c r="K20" s="17">
        <v>187285</v>
      </c>
      <c r="L20" s="17">
        <v>1923524</v>
      </c>
      <c r="M20" s="17">
        <v>939100</v>
      </c>
    </row>
    <row r="21" spans="1:13" ht="60" x14ac:dyDescent="0.25">
      <c r="A21" s="15">
        <v>49.75</v>
      </c>
      <c r="B21" s="11" t="s">
        <v>87</v>
      </c>
      <c r="C21" s="18" t="s">
        <v>23</v>
      </c>
      <c r="D21" s="11" t="s">
        <v>88</v>
      </c>
      <c r="E21" s="11" t="s">
        <v>89</v>
      </c>
      <c r="F21" s="12" t="s">
        <v>90</v>
      </c>
      <c r="G21" s="13">
        <f>Table3[[#This Row],[Estimated Requested Funding Total (dollars)]]/(1-(Table3[[#This Row],[Cost share ]]))</f>
        <v>3111764</v>
      </c>
      <c r="H21" s="16">
        <v>0.5</v>
      </c>
      <c r="I21" s="13">
        <f>Table3[[#This Row],[Year 1 Funding]]+Table3[[#This Row],[Year 2 Funding]]+Table3[[#This Row],[Year 3 Funding]]</f>
        <v>1555882</v>
      </c>
      <c r="J21" s="15">
        <v>5</v>
      </c>
      <c r="K21" s="17">
        <v>412308</v>
      </c>
      <c r="L21" s="17">
        <v>1143574</v>
      </c>
      <c r="M21" s="37"/>
    </row>
    <row r="22" spans="1:13" ht="60" x14ac:dyDescent="0.25">
      <c r="A22" s="15">
        <v>49.75</v>
      </c>
      <c r="B22" s="11" t="s">
        <v>84</v>
      </c>
      <c r="C22" s="18" t="s">
        <v>23</v>
      </c>
      <c r="D22" s="11" t="s">
        <v>85</v>
      </c>
      <c r="E22" s="11" t="s">
        <v>17</v>
      </c>
      <c r="F22" s="12" t="s">
        <v>86</v>
      </c>
      <c r="G22" s="13">
        <f>Table3[[#This Row],[Estimated Requested Funding Total (dollars)]]/(1-(Table3[[#This Row],[Cost share ]]))</f>
        <v>1800000</v>
      </c>
      <c r="H22" s="16">
        <v>0.5</v>
      </c>
      <c r="I22" s="13">
        <f>Table3[[#This Row],[Year 1 Funding]]+Table3[[#This Row],[Year 2 Funding]]+Table3[[#This Row],[Year 3 Funding]]</f>
        <v>900000</v>
      </c>
      <c r="J22" s="15">
        <v>2</v>
      </c>
      <c r="K22" s="17">
        <v>900000</v>
      </c>
      <c r="L22" s="37"/>
      <c r="M22" s="37"/>
    </row>
    <row r="23" spans="1:13" ht="105" x14ac:dyDescent="0.25">
      <c r="A23" s="15">
        <v>49.1</v>
      </c>
      <c r="B23" s="11" t="s">
        <v>18</v>
      </c>
      <c r="C23" s="18" t="s">
        <v>53</v>
      </c>
      <c r="D23" s="11" t="s">
        <v>93</v>
      </c>
      <c r="E23" s="11" t="s">
        <v>21</v>
      </c>
      <c r="F23" s="12" t="s">
        <v>94</v>
      </c>
      <c r="G23" s="13">
        <f>Table3[[#This Row],[Estimated Requested Funding Total (dollars)]]/(1-(Table3[[#This Row],[Cost share ]]))</f>
        <v>1323529.411764707</v>
      </c>
      <c r="H23" s="14">
        <v>0.93200000000000005</v>
      </c>
      <c r="I23" s="13">
        <f>Table3[[#This Row],[Year 1 Funding]]+Table3[[#This Row],[Year 2 Funding]]+Table3[[#This Row],[Year 3 Funding]]</f>
        <v>90000</v>
      </c>
      <c r="J23" s="15">
        <v>2</v>
      </c>
      <c r="K23" s="13">
        <f>37000+23000</f>
        <v>60000</v>
      </c>
      <c r="L23" s="13">
        <v>30000</v>
      </c>
      <c r="M23" s="37"/>
    </row>
    <row r="24" spans="1:13" ht="60" x14ac:dyDescent="0.25">
      <c r="A24" s="15">
        <v>48.85</v>
      </c>
      <c r="B24" s="11" t="s">
        <v>81</v>
      </c>
      <c r="C24" s="18" t="s">
        <v>55</v>
      </c>
      <c r="D24" s="11" t="s">
        <v>95</v>
      </c>
      <c r="E24" s="11" t="s">
        <v>96</v>
      </c>
      <c r="F24" s="12" t="s">
        <v>97</v>
      </c>
      <c r="G24" s="13">
        <f>Table3[[#This Row],[Estimated Requested Funding Total (dollars)]]/(1-(Table3[[#This Row],[Cost share ]]))</f>
        <v>1724000</v>
      </c>
      <c r="H24" s="16">
        <v>0.5</v>
      </c>
      <c r="I24" s="13">
        <f>Table3[[#This Row],[Year 1 Funding]]+Table3[[#This Row],[Year 2 Funding]]+Table3[[#This Row],[Year 3 Funding]]</f>
        <v>862000</v>
      </c>
      <c r="J24" s="15">
        <v>3</v>
      </c>
      <c r="K24" s="17">
        <v>65000</v>
      </c>
      <c r="L24" s="17">
        <v>797000</v>
      </c>
      <c r="M24" s="37"/>
    </row>
    <row r="25" spans="1:13" ht="225.75" customHeight="1" x14ac:dyDescent="0.25">
      <c r="A25" s="15">
        <v>48.25</v>
      </c>
      <c r="B25" s="11" t="s">
        <v>98</v>
      </c>
      <c r="C25" s="18" t="s">
        <v>23</v>
      </c>
      <c r="D25" s="11" t="s">
        <v>99</v>
      </c>
      <c r="E25" s="11" t="s">
        <v>100</v>
      </c>
      <c r="F25" s="12" t="s">
        <v>309</v>
      </c>
      <c r="G25" s="13">
        <f>Table3[[#This Row],[Estimated Requested Funding Total (dollars)]]/(1-(Table3[[#This Row],[Cost share ]]))</f>
        <v>1150549.2</v>
      </c>
      <c r="H25" s="14">
        <v>0.5</v>
      </c>
      <c r="I25" s="13">
        <f>Table3[[#This Row],[Year 1 Funding]]+Table3[[#This Row],[Year 2 Funding]]+Table3[[#This Row],[Year 3 Funding]]</f>
        <v>575274.6</v>
      </c>
      <c r="J25" s="15">
        <v>3</v>
      </c>
      <c r="K25" s="13">
        <v>201346.11</v>
      </c>
      <c r="L25" s="13">
        <v>201346.11</v>
      </c>
      <c r="M25" s="13">
        <v>172582.38</v>
      </c>
    </row>
    <row r="26" spans="1:13" ht="45" x14ac:dyDescent="0.25">
      <c r="A26" s="15">
        <v>48.010000000000005</v>
      </c>
      <c r="B26" s="11" t="s">
        <v>81</v>
      </c>
      <c r="C26" s="18" t="s">
        <v>55</v>
      </c>
      <c r="D26" s="11" t="s">
        <v>101</v>
      </c>
      <c r="E26" s="11" t="s">
        <v>96</v>
      </c>
      <c r="F26" s="12" t="s">
        <v>323</v>
      </c>
      <c r="G26" s="13">
        <f>Table3[[#This Row],[Estimated Requested Funding Total (dollars)]]/(1-(Table3[[#This Row],[Cost share ]]))</f>
        <v>375000</v>
      </c>
      <c r="H26" s="16">
        <v>0.52</v>
      </c>
      <c r="I26" s="13">
        <f>Table3[[#This Row],[Year 1 Funding]]+Table3[[#This Row],[Year 2 Funding]]+Table3[[#This Row],[Year 3 Funding]]</f>
        <v>180000</v>
      </c>
      <c r="J26" s="15">
        <v>4</v>
      </c>
      <c r="K26" s="17">
        <v>30000</v>
      </c>
      <c r="L26" s="17">
        <v>150000</v>
      </c>
      <c r="M26" s="37"/>
    </row>
    <row r="27" spans="1:13" ht="45" x14ac:dyDescent="0.25">
      <c r="A27" s="15">
        <v>47.6</v>
      </c>
      <c r="B27" s="11" t="s">
        <v>106</v>
      </c>
      <c r="C27" s="18" t="s">
        <v>23</v>
      </c>
      <c r="D27" s="11" t="s">
        <v>107</v>
      </c>
      <c r="E27" s="11" t="s">
        <v>108</v>
      </c>
      <c r="F27" s="12" t="s">
        <v>109</v>
      </c>
      <c r="G27" s="13">
        <f>Table3[[#This Row],[Estimated Requested Funding Total (dollars)]]/(1-(Table3[[#This Row],[Cost share ]]))</f>
        <v>1300000</v>
      </c>
      <c r="H27" s="16">
        <v>0.5</v>
      </c>
      <c r="I27" s="13">
        <f>Table3[[#This Row],[Year 1 Funding]]+Table3[[#This Row],[Year 2 Funding]]+Table3[[#This Row],[Year 3 Funding]]</f>
        <v>650000</v>
      </c>
      <c r="J27" s="15">
        <v>3</v>
      </c>
      <c r="K27" s="17">
        <v>325000</v>
      </c>
      <c r="L27" s="17">
        <v>325000</v>
      </c>
      <c r="M27" s="37"/>
    </row>
    <row r="28" spans="1:13" ht="45" x14ac:dyDescent="0.25">
      <c r="A28" s="15">
        <v>47.6</v>
      </c>
      <c r="B28" s="11" t="s">
        <v>102</v>
      </c>
      <c r="C28" s="18" t="s">
        <v>23</v>
      </c>
      <c r="D28" s="11" t="s">
        <v>103</v>
      </c>
      <c r="E28" s="11" t="s">
        <v>104</v>
      </c>
      <c r="F28" s="12" t="s">
        <v>105</v>
      </c>
      <c r="G28" s="13">
        <f>Table3[[#This Row],[Estimated Requested Funding Total (dollars)]]/(1-(Table3[[#This Row],[Cost share ]]))</f>
        <v>3000000</v>
      </c>
      <c r="H28" s="14">
        <v>0.5</v>
      </c>
      <c r="I28" s="13">
        <f>Table3[[#This Row],[Year 1 Funding]]+Table3[[#This Row],[Year 2 Funding]]+Table3[[#This Row],[Year 3 Funding]]</f>
        <v>1500000</v>
      </c>
      <c r="J28" s="15">
        <v>2</v>
      </c>
      <c r="K28" s="13">
        <v>1000000</v>
      </c>
      <c r="L28" s="13">
        <v>500000</v>
      </c>
      <c r="M28" s="37"/>
    </row>
    <row r="29" spans="1:13" ht="45" x14ac:dyDescent="0.25">
      <c r="A29" s="15">
        <v>47.16</v>
      </c>
      <c r="B29" s="11" t="s">
        <v>110</v>
      </c>
      <c r="C29" s="18" t="s">
        <v>111</v>
      </c>
      <c r="D29" s="11" t="s">
        <v>112</v>
      </c>
      <c r="E29" s="11" t="s">
        <v>113</v>
      </c>
      <c r="F29" s="12" t="s">
        <v>322</v>
      </c>
      <c r="G29" s="13">
        <f>Table3[[#This Row],[Estimated Requested Funding Total (dollars)]]/(1-(Table3[[#This Row],[Cost share ]]))</f>
        <v>28462469.387755103</v>
      </c>
      <c r="H29" s="16">
        <v>0.02</v>
      </c>
      <c r="I29" s="13">
        <f>Table3[[#This Row],[Year 1 Funding]]+Table3[[#This Row],[Year 2 Funding]]+Table3[[#This Row],[Year 3 Funding]]</f>
        <v>27893220</v>
      </c>
      <c r="J29" s="15">
        <v>4</v>
      </c>
      <c r="K29" s="17">
        <v>1588268</v>
      </c>
      <c r="L29" s="17">
        <v>13137736.74</v>
      </c>
      <c r="M29" s="17">
        <f>12076014.26+1191201-100000</f>
        <v>13167215.26</v>
      </c>
    </row>
    <row r="30" spans="1:13" ht="75" x14ac:dyDescent="0.25">
      <c r="A30" s="15">
        <v>46.6</v>
      </c>
      <c r="B30" s="11" t="s">
        <v>114</v>
      </c>
      <c r="C30" s="18" t="s">
        <v>31</v>
      </c>
      <c r="D30" s="11" t="s">
        <v>115</v>
      </c>
      <c r="E30" s="11" t="s">
        <v>116</v>
      </c>
      <c r="F30" s="12" t="s">
        <v>117</v>
      </c>
      <c r="G30" s="13">
        <f>Table3[[#This Row],[Estimated Requested Funding Total (dollars)]]/(1-(Table3[[#This Row],[Cost share ]]))</f>
        <v>1310000</v>
      </c>
      <c r="H30" s="14">
        <v>0.5</v>
      </c>
      <c r="I30" s="13">
        <f>Table3[[#This Row],[Year 1 Funding]]+Table3[[#This Row],[Year 2 Funding]]+Table3[[#This Row],[Year 3 Funding]]</f>
        <v>655000</v>
      </c>
      <c r="J30" s="15">
        <v>4</v>
      </c>
      <c r="K30" s="13">
        <v>5000</v>
      </c>
      <c r="L30" s="13">
        <v>325000</v>
      </c>
      <c r="M30" s="13">
        <v>325000</v>
      </c>
    </row>
    <row r="31" spans="1:13" ht="75" x14ac:dyDescent="0.25">
      <c r="A31" s="15">
        <v>46.6</v>
      </c>
      <c r="B31" s="11" t="s">
        <v>98</v>
      </c>
      <c r="C31" s="18" t="s">
        <v>23</v>
      </c>
      <c r="D31" s="11" t="s">
        <v>118</v>
      </c>
      <c r="E31" s="11" t="s">
        <v>119</v>
      </c>
      <c r="F31" s="12" t="s">
        <v>120</v>
      </c>
      <c r="G31" s="13">
        <f>Table3[[#This Row],[Estimated Requested Funding Total (dollars)]]/(1-(Table3[[#This Row],[Cost share ]]))</f>
        <v>8000000</v>
      </c>
      <c r="H31" s="16">
        <v>0.5</v>
      </c>
      <c r="I31" s="13">
        <f>Table3[[#This Row],[Year 1 Funding]]+Table3[[#This Row],[Year 2 Funding]]+Table3[[#This Row],[Year 3 Funding]]</f>
        <v>4000000</v>
      </c>
      <c r="J31" s="15">
        <v>2</v>
      </c>
      <c r="K31" s="17">
        <v>4000000</v>
      </c>
      <c r="L31" s="37"/>
      <c r="M31" s="37"/>
    </row>
    <row r="32" spans="1:13" ht="59.45" customHeight="1" x14ac:dyDescent="0.25">
      <c r="A32" s="15">
        <v>46.010000000000005</v>
      </c>
      <c r="B32" s="11" t="s">
        <v>121</v>
      </c>
      <c r="C32" s="18" t="s">
        <v>26</v>
      </c>
      <c r="D32" s="11" t="s">
        <v>122</v>
      </c>
      <c r="E32" s="11" t="s">
        <v>123</v>
      </c>
      <c r="F32" s="12" t="s">
        <v>290</v>
      </c>
      <c r="G32" s="13">
        <f>Table3[[#This Row],[Estimated Requested Funding Total (dollars)]]/(1-(Table3[[#This Row],[Cost share ]]))</f>
        <v>2250000</v>
      </c>
      <c r="H32" s="16">
        <v>0.6</v>
      </c>
      <c r="I32" s="13">
        <f>Table3[[#This Row],[Year 1 Funding]]+Table3[[#This Row],[Year 2 Funding]]+Table3[[#This Row],[Year 3 Funding]]</f>
        <v>900000</v>
      </c>
      <c r="J32" s="15">
        <v>2</v>
      </c>
      <c r="K32" s="17">
        <v>900000</v>
      </c>
      <c r="L32" s="37"/>
      <c r="M32" s="37"/>
    </row>
    <row r="33" spans="1:13" ht="75" x14ac:dyDescent="0.25">
      <c r="A33" s="15">
        <v>45.35</v>
      </c>
      <c r="B33" s="11" t="s">
        <v>124</v>
      </c>
      <c r="C33" s="18" t="s">
        <v>19</v>
      </c>
      <c r="D33" s="11" t="s">
        <v>125</v>
      </c>
      <c r="E33" s="11" t="s">
        <v>126</v>
      </c>
      <c r="F33" s="12" t="s">
        <v>127</v>
      </c>
      <c r="G33" s="13">
        <f>Table3[[#This Row],[Estimated Requested Funding Total (dollars)]]/(1-(Table3[[#This Row],[Cost share ]]))</f>
        <v>7250000</v>
      </c>
      <c r="H33" s="16">
        <v>0.5</v>
      </c>
      <c r="I33" s="13">
        <f>Table3[[#This Row],[Year 1 Funding]]+Table3[[#This Row],[Year 2 Funding]]+Table3[[#This Row],[Year 3 Funding]]</f>
        <v>3625000</v>
      </c>
      <c r="J33" s="15">
        <v>5</v>
      </c>
      <c r="K33" s="17">
        <v>543750</v>
      </c>
      <c r="L33" s="17">
        <v>3081250</v>
      </c>
      <c r="M33" s="37"/>
    </row>
    <row r="34" spans="1:13" ht="75" x14ac:dyDescent="0.25">
      <c r="A34" s="15">
        <v>45.25</v>
      </c>
      <c r="B34" s="11" t="s">
        <v>71</v>
      </c>
      <c r="C34" s="18" t="s">
        <v>31</v>
      </c>
      <c r="D34" s="11" t="s">
        <v>128</v>
      </c>
      <c r="E34" s="11" t="s">
        <v>73</v>
      </c>
      <c r="F34" s="12" t="s">
        <v>324</v>
      </c>
      <c r="G34" s="13">
        <f>Table3[[#This Row],[Estimated Requested Funding Total (dollars)]]/(1-(Table3[[#This Row],[Cost share ]]))</f>
        <v>5200000</v>
      </c>
      <c r="H34" s="16">
        <v>0.5</v>
      </c>
      <c r="I34" s="13">
        <f>Table3[[#This Row],[Year 1 Funding]]+Table3[[#This Row],[Year 2 Funding]]+Table3[[#This Row],[Year 3 Funding]]</f>
        <v>2600000</v>
      </c>
      <c r="J34" s="15">
        <v>3</v>
      </c>
      <c r="K34" s="17">
        <f>165000+811666</f>
        <v>976666</v>
      </c>
      <c r="L34" s="17">
        <v>1623334</v>
      </c>
      <c r="M34" s="37"/>
    </row>
    <row r="35" spans="1:13" ht="75" x14ac:dyDescent="0.25">
      <c r="A35" s="15">
        <v>44.6</v>
      </c>
      <c r="B35" s="11" t="s">
        <v>18</v>
      </c>
      <c r="C35" s="18" t="s">
        <v>53</v>
      </c>
      <c r="D35" s="11" t="s">
        <v>129</v>
      </c>
      <c r="E35" s="11" t="s">
        <v>21</v>
      </c>
      <c r="F35" s="12" t="s">
        <v>291</v>
      </c>
      <c r="G35" s="13">
        <f>Table3[[#This Row],[Estimated Requested Funding Total (dollars)]]/(1-(Table3[[#This Row],[Cost share ]]))</f>
        <v>1099999.9999999991</v>
      </c>
      <c r="H35" s="14">
        <v>0.97</v>
      </c>
      <c r="I35" s="13">
        <f>Table3[[#This Row],[Year 1 Funding]]+Table3[[#This Row],[Year 2 Funding]]+Table3[[#This Row],[Year 3 Funding]]</f>
        <v>33000</v>
      </c>
      <c r="J35" s="15">
        <v>3</v>
      </c>
      <c r="K35" s="13">
        <v>16000</v>
      </c>
      <c r="L35" s="13">
        <v>17000</v>
      </c>
      <c r="M35" s="37"/>
    </row>
    <row r="36" spans="1:13" ht="60" x14ac:dyDescent="0.25">
      <c r="A36" s="15">
        <v>44.6</v>
      </c>
      <c r="B36" s="11" t="s">
        <v>130</v>
      </c>
      <c r="C36" s="18" t="s">
        <v>53</v>
      </c>
      <c r="D36" s="11" t="s">
        <v>131</v>
      </c>
      <c r="E36" s="11" t="s">
        <v>132</v>
      </c>
      <c r="F36" s="12" t="s">
        <v>326</v>
      </c>
      <c r="G36" s="13">
        <f>Table3[[#This Row],[Estimated Requested Funding Total (dollars)]]/(1-(Table3[[#This Row],[Cost share ]]))</f>
        <v>600000</v>
      </c>
      <c r="H36" s="16">
        <v>0.5</v>
      </c>
      <c r="I36" s="13">
        <f>Table3[[#This Row],[Year 1 Funding]]+Table3[[#This Row],[Year 2 Funding]]+Table3[[#This Row],[Year 3 Funding]]</f>
        <v>300000</v>
      </c>
      <c r="J36" s="15">
        <v>3</v>
      </c>
      <c r="K36" s="17">
        <v>300000</v>
      </c>
      <c r="L36" s="37"/>
      <c r="M36" s="37"/>
    </row>
    <row r="37" spans="1:13" ht="139.15" customHeight="1" x14ac:dyDescent="0.25">
      <c r="A37" s="15">
        <v>44.6</v>
      </c>
      <c r="B37" s="11" t="s">
        <v>133</v>
      </c>
      <c r="C37" s="18" t="s">
        <v>31</v>
      </c>
      <c r="D37" s="11" t="s">
        <v>134</v>
      </c>
      <c r="E37" s="11" t="s">
        <v>135</v>
      </c>
      <c r="F37" s="12" t="s">
        <v>325</v>
      </c>
      <c r="G37" s="13">
        <f>Table3[[#This Row],[Estimated Requested Funding Total (dollars)]]/(1-(Table3[[#This Row],[Cost share ]]))</f>
        <v>6000000</v>
      </c>
      <c r="H37" s="16">
        <v>0.5</v>
      </c>
      <c r="I37" s="13">
        <f>Table3[[#This Row],[Year 1 Funding]]+Table3[[#This Row],[Year 2 Funding]]+Table3[[#This Row],[Year 3 Funding]]</f>
        <v>3000000</v>
      </c>
      <c r="J37" s="15">
        <v>4</v>
      </c>
      <c r="K37" s="17">
        <v>3000000</v>
      </c>
      <c r="L37" s="37"/>
      <c r="M37" s="37"/>
    </row>
    <row r="38" spans="1:13" ht="45" x14ac:dyDescent="0.25">
      <c r="A38" s="15">
        <v>44.5</v>
      </c>
      <c r="B38" s="11" t="s">
        <v>136</v>
      </c>
      <c r="C38" s="18" t="s">
        <v>137</v>
      </c>
      <c r="D38" s="11" t="s">
        <v>138</v>
      </c>
      <c r="E38" s="11" t="s">
        <v>139</v>
      </c>
      <c r="F38" s="12" t="s">
        <v>140</v>
      </c>
      <c r="G38" s="13">
        <f>Table3[[#This Row],[Estimated Requested Funding Total (dollars)]]/(1-(Table3[[#This Row],[Cost share ]]))</f>
        <v>1163235</v>
      </c>
      <c r="H38" s="16">
        <v>0</v>
      </c>
      <c r="I38" s="13">
        <f>Table3[[#This Row],[Year 1 Funding]]+Table3[[#This Row],[Year 2 Funding]]+Table3[[#This Row],[Year 3 Funding]]</f>
        <v>1163235</v>
      </c>
      <c r="J38" s="15">
        <v>2</v>
      </c>
      <c r="K38" s="17">
        <v>1163235</v>
      </c>
      <c r="L38" s="37"/>
      <c r="M38" s="37"/>
    </row>
    <row r="39" spans="1:13" ht="75" x14ac:dyDescent="0.25">
      <c r="A39" s="15">
        <v>44.1</v>
      </c>
      <c r="B39" s="11" t="s">
        <v>141</v>
      </c>
      <c r="C39" s="18" t="s">
        <v>23</v>
      </c>
      <c r="D39" s="11" t="s">
        <v>142</v>
      </c>
      <c r="E39" s="11" t="s">
        <v>143</v>
      </c>
      <c r="F39" s="12" t="s">
        <v>144</v>
      </c>
      <c r="G39" s="13">
        <f>Table3[[#This Row],[Estimated Requested Funding Total (dollars)]]/(1-(Table3[[#This Row],[Cost share ]]))</f>
        <v>3200000</v>
      </c>
      <c r="H39" s="16">
        <v>0.5</v>
      </c>
      <c r="I39" s="13">
        <f>Table3[[#This Row],[Year 1 Funding]]+Table3[[#This Row],[Year 2 Funding]]+Table3[[#This Row],[Year 3 Funding]]</f>
        <v>1600000</v>
      </c>
      <c r="J39" s="15">
        <v>2</v>
      </c>
      <c r="K39" s="17">
        <v>1600000</v>
      </c>
      <c r="L39" s="37"/>
      <c r="M39" s="37"/>
    </row>
    <row r="40" spans="1:13" ht="60" x14ac:dyDescent="0.25">
      <c r="A40" s="15">
        <v>44</v>
      </c>
      <c r="B40" s="11" t="s">
        <v>145</v>
      </c>
      <c r="C40" s="18" t="s">
        <v>23</v>
      </c>
      <c r="D40" s="11" t="s">
        <v>146</v>
      </c>
      <c r="E40" s="11" t="s">
        <v>147</v>
      </c>
      <c r="F40" s="12" t="s">
        <v>327</v>
      </c>
      <c r="G40" s="13">
        <f>Table3[[#This Row],[Estimated Requested Funding Total (dollars)]]/(1-(Table3[[#This Row],[Cost share ]]))</f>
        <v>500000</v>
      </c>
      <c r="H40" s="16">
        <v>0.5</v>
      </c>
      <c r="I40" s="13">
        <f>Table3[[#This Row],[Year 1 Funding]]+Table3[[#This Row],[Year 2 Funding]]+Table3[[#This Row],[Year 3 Funding]]</f>
        <v>250000</v>
      </c>
      <c r="J40" s="15">
        <v>3</v>
      </c>
      <c r="K40" s="17">
        <v>25000</v>
      </c>
      <c r="L40" s="17">
        <v>150000</v>
      </c>
      <c r="M40" s="17">
        <v>75000</v>
      </c>
    </row>
    <row r="41" spans="1:13" ht="75" x14ac:dyDescent="0.25">
      <c r="A41" s="15">
        <v>43.85</v>
      </c>
      <c r="B41" s="11" t="s">
        <v>148</v>
      </c>
      <c r="C41" s="18" t="s">
        <v>23</v>
      </c>
      <c r="D41" s="11" t="s">
        <v>149</v>
      </c>
      <c r="E41" s="11" t="s">
        <v>150</v>
      </c>
      <c r="F41" s="12" t="s">
        <v>151</v>
      </c>
      <c r="G41" s="13">
        <f>Table3[[#This Row],[Estimated Requested Funding Total (dollars)]]/(1-(Table3[[#This Row],[Cost share ]]))</f>
        <v>20000000</v>
      </c>
      <c r="H41" s="16">
        <v>0.5</v>
      </c>
      <c r="I41" s="13">
        <f>Table3[[#This Row],[Year 1 Funding]]+Table3[[#This Row],[Year 2 Funding]]+Table3[[#This Row],[Year 3 Funding]]</f>
        <v>10000000</v>
      </c>
      <c r="J41" s="15">
        <v>4</v>
      </c>
      <c r="K41" s="17">
        <v>10000000</v>
      </c>
      <c r="L41" s="37"/>
      <c r="M41" s="37"/>
    </row>
    <row r="42" spans="1:13" ht="30" x14ac:dyDescent="0.25">
      <c r="A42" s="15">
        <v>43.75</v>
      </c>
      <c r="B42" s="11" t="s">
        <v>152</v>
      </c>
      <c r="C42" s="18" t="s">
        <v>153</v>
      </c>
      <c r="D42" s="11" t="s">
        <v>154</v>
      </c>
      <c r="E42" s="11" t="s">
        <v>155</v>
      </c>
      <c r="F42" s="12" t="s">
        <v>328</v>
      </c>
      <c r="G42" s="13">
        <f>Table3[[#This Row],[Estimated Requested Funding Total (dollars)]]/(1-(Table3[[#This Row],[Cost share ]]))</f>
        <v>190440</v>
      </c>
      <c r="H42" s="16">
        <v>0.5</v>
      </c>
      <c r="I42" s="13">
        <f>Table3[[#This Row],[Year 1 Funding]]+Table3[[#This Row],[Year 2 Funding]]+Table3[[#This Row],[Year 3 Funding]]</f>
        <v>95220</v>
      </c>
      <c r="J42" s="15">
        <v>1</v>
      </c>
      <c r="K42" s="17">
        <v>95220</v>
      </c>
      <c r="L42" s="37"/>
      <c r="M42" s="37"/>
    </row>
    <row r="43" spans="1:13" ht="30" x14ac:dyDescent="0.25">
      <c r="A43" s="15">
        <v>43.6</v>
      </c>
      <c r="B43" s="11" t="s">
        <v>156</v>
      </c>
      <c r="C43" s="18" t="s">
        <v>157</v>
      </c>
      <c r="D43" s="11" t="s">
        <v>158</v>
      </c>
      <c r="E43" s="11" t="s">
        <v>159</v>
      </c>
      <c r="F43" s="12" t="s">
        <v>329</v>
      </c>
      <c r="G43" s="13">
        <f>Table3[[#This Row],[Estimated Requested Funding Total (dollars)]]/(1-(Table3[[#This Row],[Cost share ]]))</f>
        <v>61543.975409836065</v>
      </c>
      <c r="H43" s="16">
        <v>0.75600000000000001</v>
      </c>
      <c r="I43" s="13">
        <f>Table3[[#This Row],[Year 1 Funding]]+Table3[[#This Row],[Year 2 Funding]]+Table3[[#This Row],[Year 3 Funding]]</f>
        <v>15016.73</v>
      </c>
      <c r="J43" s="15">
        <v>1</v>
      </c>
      <c r="K43" s="17">
        <v>10916.73</v>
      </c>
      <c r="L43" s="17">
        <v>4100</v>
      </c>
      <c r="M43" s="17"/>
    </row>
    <row r="44" spans="1:13" ht="75" x14ac:dyDescent="0.25">
      <c r="A44" s="15">
        <v>43.5</v>
      </c>
      <c r="B44" s="11" t="s">
        <v>160</v>
      </c>
      <c r="C44" s="18" t="s">
        <v>161</v>
      </c>
      <c r="D44" s="11" t="s">
        <v>162</v>
      </c>
      <c r="E44" s="11" t="s">
        <v>160</v>
      </c>
      <c r="F44" s="12" t="s">
        <v>330</v>
      </c>
      <c r="G44" s="13">
        <f>Table3[[#This Row],[Estimated Requested Funding Total (dollars)]]/(1-(Table3[[#This Row],[Cost share ]]))</f>
        <v>4000000</v>
      </c>
      <c r="H44" s="16">
        <v>0.5</v>
      </c>
      <c r="I44" s="13">
        <f>Table3[[#This Row],[Year 1 Funding]]+Table3[[#This Row],[Year 2 Funding]]+Table3[[#This Row],[Year 3 Funding]]</f>
        <v>2000000</v>
      </c>
      <c r="J44" s="15">
        <v>1</v>
      </c>
      <c r="K44" s="17">
        <v>1000000</v>
      </c>
      <c r="L44" s="17">
        <v>1000000</v>
      </c>
      <c r="M44" s="17"/>
    </row>
    <row r="45" spans="1:13" ht="43.15" customHeight="1" x14ac:dyDescent="0.25">
      <c r="A45" s="15">
        <v>42.75</v>
      </c>
      <c r="B45" s="11" t="s">
        <v>67</v>
      </c>
      <c r="C45" s="18" t="s">
        <v>60</v>
      </c>
      <c r="D45" s="11" t="s">
        <v>163</v>
      </c>
      <c r="E45" s="11" t="s">
        <v>164</v>
      </c>
      <c r="F45" s="12" t="s">
        <v>331</v>
      </c>
      <c r="G45" s="13">
        <f>Table3[[#This Row],[Estimated Requested Funding Total (dollars)]]/(1-(Table3[[#This Row],[Cost share ]]))</f>
        <v>342000</v>
      </c>
      <c r="H45" s="16">
        <v>0.5</v>
      </c>
      <c r="I45" s="13">
        <f>Table3[[#This Row],[Year 1 Funding]]+Table3[[#This Row],[Year 2 Funding]]+Table3[[#This Row],[Year 3 Funding]]</f>
        <v>171000</v>
      </c>
      <c r="J45" s="15">
        <v>3</v>
      </c>
      <c r="K45" s="17">
        <v>171000</v>
      </c>
      <c r="L45" s="17"/>
      <c r="M45" s="17"/>
    </row>
    <row r="46" spans="1:13" ht="60" x14ac:dyDescent="0.25">
      <c r="A46" s="15">
        <v>42.6</v>
      </c>
      <c r="B46" s="11" t="s">
        <v>166</v>
      </c>
      <c r="C46" s="18" t="s">
        <v>19</v>
      </c>
      <c r="D46" s="11" t="s">
        <v>292</v>
      </c>
      <c r="E46" s="11" t="s">
        <v>167</v>
      </c>
      <c r="F46" s="12" t="s">
        <v>332</v>
      </c>
      <c r="G46" s="13">
        <f>Table3[[#This Row],[Estimated Requested Funding Total (dollars)]]/(1-(Table3[[#This Row],[Cost share ]]))</f>
        <v>700000</v>
      </c>
      <c r="H46" s="16">
        <v>0.5</v>
      </c>
      <c r="I46" s="13">
        <f>Table3[[#This Row],[Year 1 Funding]]+Table3[[#This Row],[Year 2 Funding]]+Table3[[#This Row],[Year 3 Funding]]</f>
        <v>350000</v>
      </c>
      <c r="J46" s="15">
        <v>2</v>
      </c>
      <c r="K46" s="17">
        <v>350000</v>
      </c>
      <c r="L46" s="17"/>
      <c r="M46" s="17"/>
    </row>
    <row r="47" spans="1:13" ht="90" x14ac:dyDescent="0.25">
      <c r="A47" s="15">
        <v>42.25</v>
      </c>
      <c r="B47" s="11" t="s">
        <v>65</v>
      </c>
      <c r="C47" s="18" t="s">
        <v>31</v>
      </c>
      <c r="D47" s="11" t="s">
        <v>168</v>
      </c>
      <c r="E47" s="11" t="s">
        <v>63</v>
      </c>
      <c r="F47" s="12" t="s">
        <v>293</v>
      </c>
      <c r="G47" s="13">
        <f>Table3[[#This Row],[Estimated Requested Funding Total (dollars)]]/(1-(Table3[[#This Row],[Cost share ]]))</f>
        <v>3333672</v>
      </c>
      <c r="H47" s="14">
        <v>0.5</v>
      </c>
      <c r="I47" s="13">
        <f>Table3[[#This Row],[Year 1 Funding]]+Table3[[#This Row],[Year 2 Funding]]+Table3[[#This Row],[Year 3 Funding]]</f>
        <v>1666836</v>
      </c>
      <c r="J47" s="15">
        <v>2</v>
      </c>
      <c r="K47" s="13">
        <v>147152</v>
      </c>
      <c r="L47" s="13">
        <v>1519684</v>
      </c>
      <c r="M47" s="13"/>
    </row>
    <row r="48" spans="1:13" ht="45" x14ac:dyDescent="0.25">
      <c r="A48" s="15">
        <v>42.25</v>
      </c>
      <c r="B48" s="11" t="s">
        <v>169</v>
      </c>
      <c r="C48" s="18" t="s">
        <v>78</v>
      </c>
      <c r="D48" s="11" t="s">
        <v>294</v>
      </c>
      <c r="E48" s="11" t="s">
        <v>170</v>
      </c>
      <c r="F48" s="12" t="s">
        <v>333</v>
      </c>
      <c r="G48" s="13">
        <f>Table3[[#This Row],[Estimated Requested Funding Total (dollars)]]/(1-(Table3[[#This Row],[Cost share ]]))</f>
        <v>2369990</v>
      </c>
      <c r="H48" s="16">
        <v>0.5</v>
      </c>
      <c r="I48" s="13">
        <f>Table3[[#This Row],[Year 1 Funding]]+Table3[[#This Row],[Year 2 Funding]]+Table3[[#This Row],[Year 3 Funding]]</f>
        <v>1184995</v>
      </c>
      <c r="J48" s="15">
        <v>2</v>
      </c>
      <c r="K48" s="17">
        <v>710997</v>
      </c>
      <c r="L48" s="17">
        <v>473998</v>
      </c>
      <c r="M48" s="17"/>
    </row>
    <row r="49" spans="1:13" ht="63.6" customHeight="1" x14ac:dyDescent="0.25">
      <c r="A49" s="15">
        <v>42.16</v>
      </c>
      <c r="B49" s="11" t="s">
        <v>84</v>
      </c>
      <c r="C49" s="18" t="s">
        <v>23</v>
      </c>
      <c r="D49" s="11" t="s">
        <v>171</v>
      </c>
      <c r="E49" s="11" t="s">
        <v>165</v>
      </c>
      <c r="F49" s="12" t="s">
        <v>172</v>
      </c>
      <c r="G49" s="13">
        <f>Table3[[#This Row],[Estimated Requested Funding Total (dollars)]]/(1-(Table3[[#This Row],[Cost share ]]))</f>
        <v>16000000</v>
      </c>
      <c r="H49" s="16">
        <v>0.625</v>
      </c>
      <c r="I49" s="13">
        <f>Table3[[#This Row],[Year 1 Funding]]+Table3[[#This Row],[Year 2 Funding]]+Table3[[#This Row],[Year 3 Funding]]</f>
        <v>6000000</v>
      </c>
      <c r="J49" s="15"/>
      <c r="K49" s="17"/>
      <c r="L49" s="17">
        <v>4400000</v>
      </c>
      <c r="M49" s="17">
        <v>1600000</v>
      </c>
    </row>
    <row r="50" spans="1:13" ht="60" x14ac:dyDescent="0.25">
      <c r="A50" s="15">
        <v>42</v>
      </c>
      <c r="B50" s="11" t="s">
        <v>87</v>
      </c>
      <c r="C50" s="18" t="s">
        <v>23</v>
      </c>
      <c r="D50" s="11" t="s">
        <v>173</v>
      </c>
      <c r="E50" s="11" t="s">
        <v>174</v>
      </c>
      <c r="F50" s="12" t="s">
        <v>334</v>
      </c>
      <c r="G50" s="13">
        <f>Table3[[#This Row],[Estimated Requested Funding Total (dollars)]]/(1-(Table3[[#This Row],[Cost share ]]))</f>
        <v>291054</v>
      </c>
      <c r="H50" s="16">
        <v>0.5</v>
      </c>
      <c r="I50" s="13">
        <f>Table3[[#This Row],[Year 1 Funding]]+Table3[[#This Row],[Year 2 Funding]]+Table3[[#This Row],[Year 3 Funding]]</f>
        <v>145527</v>
      </c>
      <c r="J50" s="15">
        <v>3</v>
      </c>
      <c r="K50" s="17">
        <v>145527</v>
      </c>
      <c r="L50" s="17"/>
      <c r="M50" s="17"/>
    </row>
    <row r="51" spans="1:13" ht="75" x14ac:dyDescent="0.25">
      <c r="A51" s="15">
        <v>41.75</v>
      </c>
      <c r="B51" s="11" t="s">
        <v>84</v>
      </c>
      <c r="C51" s="18" t="s">
        <v>23</v>
      </c>
      <c r="D51" s="11" t="s">
        <v>175</v>
      </c>
      <c r="E51" s="11" t="s">
        <v>176</v>
      </c>
      <c r="F51" s="12" t="s">
        <v>295</v>
      </c>
      <c r="G51" s="13">
        <f>Table3[[#This Row],[Estimated Requested Funding Total (dollars)]]/(1-(Table3[[#This Row],[Cost share ]]))</f>
        <v>600000</v>
      </c>
      <c r="H51" s="16">
        <v>0.5</v>
      </c>
      <c r="I51" s="13">
        <f>Table3[[#This Row],[Year 1 Funding]]+Table3[[#This Row],[Year 2 Funding]]+Table3[[#This Row],[Year 3 Funding]]</f>
        <v>300000</v>
      </c>
      <c r="J51" s="15">
        <v>1</v>
      </c>
      <c r="K51" s="17">
        <v>300000</v>
      </c>
      <c r="L51" s="17"/>
      <c r="M51" s="17"/>
    </row>
    <row r="52" spans="1:13" ht="52.5" customHeight="1" x14ac:dyDescent="0.25">
      <c r="A52" s="15">
        <v>41.45</v>
      </c>
      <c r="B52" s="11" t="s">
        <v>177</v>
      </c>
      <c r="C52" s="18" t="s">
        <v>60</v>
      </c>
      <c r="D52" s="11" t="s">
        <v>178</v>
      </c>
      <c r="E52" s="11" t="s">
        <v>179</v>
      </c>
      <c r="F52" s="12" t="s">
        <v>336</v>
      </c>
      <c r="G52" s="13">
        <f>Table3[[#This Row],[Estimated Requested Funding Total (dollars)]]/(1-(Table3[[#This Row],[Cost share ]]))</f>
        <v>4300000</v>
      </c>
      <c r="H52" s="16">
        <v>0.5</v>
      </c>
      <c r="I52" s="13">
        <f>Table3[[#This Row],[Year 1 Funding]]+Table3[[#This Row],[Year 2 Funding]]+Table3[[#This Row],[Year 3 Funding]]</f>
        <v>2150000</v>
      </c>
      <c r="J52" s="15">
        <v>3</v>
      </c>
      <c r="K52" s="17">
        <v>850000</v>
      </c>
      <c r="L52" s="17">
        <v>1050000</v>
      </c>
      <c r="M52" s="17">
        <v>250000</v>
      </c>
    </row>
    <row r="53" spans="1:13" ht="70.150000000000006" customHeight="1" x14ac:dyDescent="0.25">
      <c r="A53" s="15">
        <v>41.25</v>
      </c>
      <c r="B53" s="11" t="s">
        <v>180</v>
      </c>
      <c r="C53" s="18" t="s">
        <v>53</v>
      </c>
      <c r="D53" s="11" t="s">
        <v>181</v>
      </c>
      <c r="E53" s="11" t="s">
        <v>182</v>
      </c>
      <c r="F53" s="12" t="s">
        <v>335</v>
      </c>
      <c r="G53" s="13">
        <f>Table3[[#This Row],[Estimated Requested Funding Total (dollars)]]/(1-(Table3[[#This Row],[Cost share ]]))</f>
        <v>2000000</v>
      </c>
      <c r="H53" s="16">
        <v>0.5</v>
      </c>
      <c r="I53" s="13">
        <f>Table3[[#This Row],[Year 1 Funding]]+Table3[[#This Row],[Year 2 Funding]]+Table3[[#This Row],[Year 3 Funding]]</f>
        <v>1000000</v>
      </c>
      <c r="J53" s="15">
        <v>2</v>
      </c>
      <c r="K53" s="17">
        <v>1000000</v>
      </c>
      <c r="L53" s="17"/>
      <c r="M53" s="17"/>
    </row>
    <row r="54" spans="1:13" ht="45" x14ac:dyDescent="0.25">
      <c r="A54" s="15">
        <v>41</v>
      </c>
      <c r="B54" s="11" t="s">
        <v>169</v>
      </c>
      <c r="C54" s="18" t="s">
        <v>78</v>
      </c>
      <c r="D54" s="11" t="s">
        <v>183</v>
      </c>
      <c r="E54" s="11" t="s">
        <v>170</v>
      </c>
      <c r="F54" s="12" t="s">
        <v>337</v>
      </c>
      <c r="G54" s="13">
        <f>Table3[[#This Row],[Estimated Requested Funding Total (dollars)]]/(1-(Table3[[#This Row],[Cost share ]]))</f>
        <v>7862534</v>
      </c>
      <c r="H54" s="16">
        <v>0.5</v>
      </c>
      <c r="I54" s="13">
        <f>Table3[[#This Row],[Year 1 Funding]]+Table3[[#This Row],[Year 2 Funding]]+Table3[[#This Row],[Year 3 Funding]]</f>
        <v>3931267</v>
      </c>
      <c r="J54" s="15">
        <v>2</v>
      </c>
      <c r="K54" s="17">
        <v>1965633</v>
      </c>
      <c r="L54" s="17">
        <v>1769070</v>
      </c>
      <c r="M54" s="17">
        <v>196564</v>
      </c>
    </row>
    <row r="55" spans="1:13" ht="71.45" customHeight="1" x14ac:dyDescent="0.25">
      <c r="A55" s="15">
        <v>40.75</v>
      </c>
      <c r="B55" s="11" t="s">
        <v>184</v>
      </c>
      <c r="C55" s="18" t="s">
        <v>31</v>
      </c>
      <c r="D55" s="11" t="s">
        <v>185</v>
      </c>
      <c r="E55" s="11" t="s">
        <v>186</v>
      </c>
      <c r="F55" s="12" t="s">
        <v>296</v>
      </c>
      <c r="G55" s="13">
        <f>Table3[[#This Row],[Estimated Requested Funding Total (dollars)]]/(1-(Table3[[#This Row],[Cost share ]]))</f>
        <v>3786952</v>
      </c>
      <c r="H55" s="16">
        <v>0.5</v>
      </c>
      <c r="I55" s="13">
        <f>Table3[[#This Row],[Year 1 Funding]]+Table3[[#This Row],[Year 2 Funding]]+Table3[[#This Row],[Year 3 Funding]]</f>
        <v>1893476</v>
      </c>
      <c r="J55" s="15">
        <v>1</v>
      </c>
      <c r="K55" s="17">
        <v>1893476</v>
      </c>
      <c r="L55" s="17"/>
      <c r="M55" s="17"/>
    </row>
    <row r="56" spans="1:13" ht="45" x14ac:dyDescent="0.25">
      <c r="A56" s="15">
        <v>40.6</v>
      </c>
      <c r="B56" s="11" t="s">
        <v>188</v>
      </c>
      <c r="C56" s="18" t="s">
        <v>189</v>
      </c>
      <c r="D56" s="11" t="s">
        <v>190</v>
      </c>
      <c r="E56" s="11" t="s">
        <v>191</v>
      </c>
      <c r="F56" s="12" t="s">
        <v>192</v>
      </c>
      <c r="G56" s="13">
        <f>Table3[[#This Row],[Estimated Requested Funding Total (dollars)]]/(1-(Table3[[#This Row],[Cost share ]]))</f>
        <v>850000</v>
      </c>
      <c r="H56" s="16">
        <v>0.5</v>
      </c>
      <c r="I56" s="13">
        <f>Table3[[#This Row],[Year 1 Funding]]+Table3[[#This Row],[Year 2 Funding]]+Table3[[#This Row],[Year 3 Funding]]</f>
        <v>425000</v>
      </c>
      <c r="J56" s="15">
        <v>1</v>
      </c>
      <c r="K56" s="17">
        <v>425000</v>
      </c>
      <c r="L56" s="17"/>
      <c r="M56" s="17"/>
    </row>
    <row r="57" spans="1:13" ht="181.15" customHeight="1" x14ac:dyDescent="0.25">
      <c r="A57" s="15">
        <v>39.86</v>
      </c>
      <c r="B57" s="11" t="s">
        <v>84</v>
      </c>
      <c r="C57" s="18" t="s">
        <v>23</v>
      </c>
      <c r="D57" s="11" t="s">
        <v>193</v>
      </c>
      <c r="E57" s="11" t="s">
        <v>194</v>
      </c>
      <c r="F57" s="12" t="s">
        <v>310</v>
      </c>
      <c r="G57" s="13">
        <f>Table3[[#This Row],[Estimated Requested Funding Total (dollars)]]/(1-(Table3[[#This Row],[Cost share ]]))</f>
        <v>30000000</v>
      </c>
      <c r="H57" s="16">
        <v>0.5</v>
      </c>
      <c r="I57" s="13">
        <f>Table3[[#This Row],[Year 1 Funding]]+Table3[[#This Row],[Year 2 Funding]]+Table3[[#This Row],[Year 3 Funding]]</f>
        <v>15000000</v>
      </c>
      <c r="J57" s="15">
        <v>5</v>
      </c>
      <c r="K57" s="17">
        <v>1000000</v>
      </c>
      <c r="L57" s="17">
        <v>3500000</v>
      </c>
      <c r="M57" s="17">
        <v>10500000</v>
      </c>
    </row>
    <row r="58" spans="1:13" ht="64.5" customHeight="1" x14ac:dyDescent="0.25">
      <c r="A58" s="15">
        <v>39.75</v>
      </c>
      <c r="B58" s="11" t="s">
        <v>152</v>
      </c>
      <c r="C58" s="18" t="s">
        <v>153</v>
      </c>
      <c r="D58" s="11" t="s">
        <v>196</v>
      </c>
      <c r="E58" s="11" t="s">
        <v>197</v>
      </c>
      <c r="F58" s="12" t="s">
        <v>347</v>
      </c>
      <c r="G58" s="13">
        <f>Table3[[#This Row],[Estimated Requested Funding Total (dollars)]]/(1-(Table3[[#This Row],[Cost share ]]))</f>
        <v>200000</v>
      </c>
      <c r="H58" s="16">
        <v>0.5</v>
      </c>
      <c r="I58" s="13">
        <f>Table3[[#This Row],[Year 1 Funding]]+Table3[[#This Row],[Year 2 Funding]]+Table3[[#This Row],[Year 3 Funding]]</f>
        <v>100000</v>
      </c>
      <c r="J58" s="15">
        <v>3</v>
      </c>
      <c r="K58" s="17">
        <v>30000</v>
      </c>
      <c r="L58" s="17">
        <v>70000</v>
      </c>
      <c r="M58" s="17"/>
    </row>
    <row r="59" spans="1:13" ht="90" x14ac:dyDescent="0.25">
      <c r="A59" s="15">
        <v>39.159999999999997</v>
      </c>
      <c r="B59" s="11" t="s">
        <v>18</v>
      </c>
      <c r="C59" s="18" t="s">
        <v>19</v>
      </c>
      <c r="D59" s="11" t="s">
        <v>198</v>
      </c>
      <c r="E59" s="11" t="s">
        <v>18</v>
      </c>
      <c r="F59" s="12" t="s">
        <v>311</v>
      </c>
      <c r="G59" s="13">
        <f>Table3[[#This Row],[Estimated Requested Funding Total (dollars)]]/(1-(Table3[[#This Row],[Cost share ]]))</f>
        <v>909090.90909090941</v>
      </c>
      <c r="H59" s="16">
        <v>0.91200000000000003</v>
      </c>
      <c r="I59" s="13">
        <f>Table3[[#This Row],[Year 1 Funding]]+Table3[[#This Row],[Year 2 Funding]]+Table3[[#This Row],[Year 3 Funding]]</f>
        <v>80000</v>
      </c>
      <c r="J59" s="15">
        <v>2</v>
      </c>
      <c r="K59" s="17">
        <v>63000</v>
      </c>
      <c r="L59" s="17">
        <v>17000</v>
      </c>
      <c r="M59" s="17"/>
    </row>
    <row r="60" spans="1:13" ht="45" x14ac:dyDescent="0.25">
      <c r="A60" s="15">
        <v>39.1</v>
      </c>
      <c r="B60" s="11" t="s">
        <v>152</v>
      </c>
      <c r="C60" s="18" t="s">
        <v>153</v>
      </c>
      <c r="D60" s="11" t="s">
        <v>199</v>
      </c>
      <c r="E60" s="11" t="s">
        <v>200</v>
      </c>
      <c r="F60" s="12" t="s">
        <v>201</v>
      </c>
      <c r="G60" s="13">
        <f>Table3[[#This Row],[Estimated Requested Funding Total (dollars)]]/(1-(Table3[[#This Row],[Cost share ]]))</f>
        <v>40000000</v>
      </c>
      <c r="H60" s="16">
        <v>0.5</v>
      </c>
      <c r="I60" s="13">
        <f>Table3[[#This Row],[Year 1 Funding]]+Table3[[#This Row],[Year 2 Funding]]+Table3[[#This Row],[Year 3 Funding]]</f>
        <v>20000000</v>
      </c>
      <c r="J60" s="15">
        <v>3</v>
      </c>
      <c r="K60" s="17">
        <v>4150000</v>
      </c>
      <c r="L60" s="17">
        <v>7925000</v>
      </c>
      <c r="M60" s="17">
        <v>7925000</v>
      </c>
    </row>
    <row r="61" spans="1:13" ht="60" x14ac:dyDescent="0.25">
      <c r="A61" s="15">
        <v>39</v>
      </c>
      <c r="B61" s="11" t="s">
        <v>87</v>
      </c>
      <c r="C61" s="18" t="s">
        <v>23</v>
      </c>
      <c r="D61" s="11" t="s">
        <v>297</v>
      </c>
      <c r="E61" s="11" t="s">
        <v>25</v>
      </c>
      <c r="F61" s="12" t="s">
        <v>298</v>
      </c>
      <c r="G61" s="13">
        <f>Table3[[#This Row],[Estimated Requested Funding Total (dollars)]]/(1-(Table3[[#This Row],[Cost share ]]))</f>
        <v>31376186</v>
      </c>
      <c r="H61" s="16">
        <v>0.5</v>
      </c>
      <c r="I61" s="13">
        <f>Table3[[#This Row],[Year 1 Funding]]+Table3[[#This Row],[Year 2 Funding]]+Table3[[#This Row],[Year 3 Funding]]</f>
        <v>15688093</v>
      </c>
      <c r="J61" s="15">
        <v>2</v>
      </c>
      <c r="K61" s="17">
        <v>3922023</v>
      </c>
      <c r="L61" s="17">
        <v>11766070</v>
      </c>
      <c r="M61" s="17"/>
    </row>
    <row r="62" spans="1:13" ht="45" x14ac:dyDescent="0.25">
      <c r="A62" s="15">
        <v>38.700000000000003</v>
      </c>
      <c r="B62" s="11" t="s">
        <v>202</v>
      </c>
      <c r="C62" s="18" t="s">
        <v>111</v>
      </c>
      <c r="D62" s="11" t="s">
        <v>203</v>
      </c>
      <c r="E62" s="11" t="s">
        <v>204</v>
      </c>
      <c r="F62" s="12" t="s">
        <v>348</v>
      </c>
      <c r="G62" s="13">
        <f>Table3[[#This Row],[Estimated Requested Funding Total (dollars)]]/(1-(Table3[[#This Row],[Cost share ]]))</f>
        <v>7797911.4942528736</v>
      </c>
      <c r="H62" s="16">
        <v>0.13</v>
      </c>
      <c r="I62" s="13">
        <f>Table3[[#This Row],[Year 1 Funding]]+Table3[[#This Row],[Year 2 Funding]]+Table3[[#This Row],[Year 3 Funding]]</f>
        <v>6784183</v>
      </c>
      <c r="J62" s="15">
        <v>3</v>
      </c>
      <c r="K62" s="17">
        <v>545458</v>
      </c>
      <c r="L62" s="17">
        <v>3101930</v>
      </c>
      <c r="M62" s="17">
        <v>3136795</v>
      </c>
    </row>
    <row r="63" spans="1:13" ht="60" x14ac:dyDescent="0.25">
      <c r="A63" s="15">
        <v>38.35</v>
      </c>
      <c r="B63" s="11" t="s">
        <v>75</v>
      </c>
      <c r="C63" s="18" t="s">
        <v>37</v>
      </c>
      <c r="D63" s="11" t="s">
        <v>205</v>
      </c>
      <c r="E63" s="11" t="s">
        <v>206</v>
      </c>
      <c r="F63" s="12" t="s">
        <v>207</v>
      </c>
      <c r="G63" s="13">
        <f>Table3[[#This Row],[Estimated Requested Funding Total (dollars)]]/(1-(Table3[[#This Row],[Cost share ]]))</f>
        <v>1520000</v>
      </c>
      <c r="H63" s="16">
        <v>0.5</v>
      </c>
      <c r="I63" s="13">
        <f>Table3[[#This Row],[Year 1 Funding]]+Table3[[#This Row],[Year 2 Funding]]+Table3[[#This Row],[Year 3 Funding]]</f>
        <v>760000</v>
      </c>
      <c r="J63" s="15">
        <v>4</v>
      </c>
      <c r="K63" s="17">
        <v>180000</v>
      </c>
      <c r="L63" s="17">
        <f>430000+150000</f>
        <v>580000</v>
      </c>
      <c r="M63" s="17"/>
    </row>
    <row r="64" spans="1:13" ht="45" x14ac:dyDescent="0.25">
      <c r="A64" s="15">
        <v>38</v>
      </c>
      <c r="B64" s="11" t="s">
        <v>124</v>
      </c>
      <c r="C64" s="18" t="s">
        <v>19</v>
      </c>
      <c r="D64" s="11" t="s">
        <v>212</v>
      </c>
      <c r="E64" s="11" t="s">
        <v>182</v>
      </c>
      <c r="F64" s="12" t="s">
        <v>338</v>
      </c>
      <c r="G64" s="13">
        <f>Table3[[#This Row],[Estimated Requested Funding Total (dollars)]]/(1-(Table3[[#This Row],[Cost share ]]))</f>
        <v>810000</v>
      </c>
      <c r="H64" s="16">
        <v>0.5</v>
      </c>
      <c r="I64" s="13">
        <f>Table3[[#This Row],[Year 1 Funding]]+Table3[[#This Row],[Year 2 Funding]]+Table3[[#This Row],[Year 3 Funding]]</f>
        <v>405000</v>
      </c>
      <c r="J64" s="15">
        <v>4</v>
      </c>
      <c r="K64" s="17">
        <v>405000</v>
      </c>
      <c r="L64" s="17"/>
      <c r="M64" s="17"/>
    </row>
    <row r="65" spans="1:13" ht="49.9" customHeight="1" x14ac:dyDescent="0.25">
      <c r="A65" s="15">
        <v>38</v>
      </c>
      <c r="B65" s="11" t="s">
        <v>208</v>
      </c>
      <c r="C65" s="18" t="s">
        <v>209</v>
      </c>
      <c r="D65" s="11" t="s">
        <v>210</v>
      </c>
      <c r="E65" s="11" t="s">
        <v>211</v>
      </c>
      <c r="F65" s="12" t="s">
        <v>339</v>
      </c>
      <c r="G65" s="13">
        <f>Table3[[#This Row],[Estimated Requested Funding Total (dollars)]]/(1-(Table3[[#This Row],[Cost share ]]))</f>
        <v>13969265.625</v>
      </c>
      <c r="H65" s="14">
        <v>0.04</v>
      </c>
      <c r="I65" s="13">
        <f>Table3[[#This Row],[Year 1 Funding]]+Table3[[#This Row],[Year 2 Funding]]+Table3[[#This Row],[Year 3 Funding]]</f>
        <v>13410495</v>
      </c>
      <c r="J65" s="15">
        <v>2</v>
      </c>
      <c r="K65" s="13">
        <v>6410495</v>
      </c>
      <c r="L65" s="13">
        <v>7000000</v>
      </c>
      <c r="M65" s="13">
        <v>0</v>
      </c>
    </row>
    <row r="66" spans="1:13" ht="120" x14ac:dyDescent="0.25">
      <c r="A66" s="15">
        <v>37.6</v>
      </c>
      <c r="B66" s="11" t="s">
        <v>75</v>
      </c>
      <c r="C66" s="18" t="s">
        <v>213</v>
      </c>
      <c r="D66" s="11" t="s">
        <v>214</v>
      </c>
      <c r="E66" s="11" t="s">
        <v>165</v>
      </c>
      <c r="F66" s="12" t="s">
        <v>215</v>
      </c>
      <c r="G66" s="13">
        <f>Table3[[#This Row],[Estimated Requested Funding Total (dollars)]]/(1-(Table3[[#This Row],[Cost share ]]))</f>
        <v>785000</v>
      </c>
      <c r="H66" s="16">
        <v>0.5</v>
      </c>
      <c r="I66" s="13">
        <f>Table3[[#This Row],[Year 1 Funding]]+Table3[[#This Row],[Year 2 Funding]]+Table3[[#This Row],[Year 3 Funding]]</f>
        <v>392500</v>
      </c>
      <c r="J66" s="15">
        <v>1</v>
      </c>
      <c r="K66" s="17">
        <v>392500</v>
      </c>
      <c r="L66" s="17"/>
      <c r="M66" s="17"/>
    </row>
    <row r="67" spans="1:13" ht="60" x14ac:dyDescent="0.25">
      <c r="A67" s="15">
        <v>37.409999999999997</v>
      </c>
      <c r="B67" s="11" t="s">
        <v>84</v>
      </c>
      <c r="C67" s="18" t="s">
        <v>23</v>
      </c>
      <c r="D67" s="11" t="s">
        <v>216</v>
      </c>
      <c r="E67" s="11" t="s">
        <v>217</v>
      </c>
      <c r="F67" s="12" t="s">
        <v>218</v>
      </c>
      <c r="G67" s="13">
        <f>Table3[[#This Row],[Estimated Requested Funding Total (dollars)]]/(1-(Table3[[#This Row],[Cost share ]]))</f>
        <v>1400124.4555071562</v>
      </c>
      <c r="H67" s="16" t="s">
        <v>219</v>
      </c>
      <c r="I67" s="13">
        <f>Table3[[#This Row],[Year 1 Funding]]+Table3[[#This Row],[Year 2 Funding]]+Table3[[#This Row],[Year 3 Funding]]</f>
        <v>450000</v>
      </c>
      <c r="J67" s="15">
        <v>1</v>
      </c>
      <c r="K67" s="17">
        <v>450000</v>
      </c>
      <c r="L67" s="17"/>
      <c r="M67" s="17"/>
    </row>
    <row r="68" spans="1:13" ht="45" x14ac:dyDescent="0.25">
      <c r="A68" s="15">
        <v>37.35</v>
      </c>
      <c r="B68" s="11" t="s">
        <v>152</v>
      </c>
      <c r="C68" s="18" t="s">
        <v>153</v>
      </c>
      <c r="D68" s="11" t="s">
        <v>220</v>
      </c>
      <c r="E68" s="11" t="s">
        <v>221</v>
      </c>
      <c r="F68" s="12" t="s">
        <v>340</v>
      </c>
      <c r="G68" s="13">
        <f>Table3[[#This Row],[Estimated Requested Funding Total (dollars)]]/(1-(Table3[[#This Row],[Cost share ]]))</f>
        <v>17000000</v>
      </c>
      <c r="H68" s="16">
        <v>0.5</v>
      </c>
      <c r="I68" s="13">
        <f>Table3[[#This Row],[Year 1 Funding]]+Table3[[#This Row],[Year 2 Funding]]+Table3[[#This Row],[Year 3 Funding]]</f>
        <v>8500000</v>
      </c>
      <c r="J68" s="15">
        <v>1</v>
      </c>
      <c r="K68" s="17">
        <v>8500000</v>
      </c>
      <c r="L68" s="17"/>
      <c r="M68" s="17"/>
    </row>
    <row r="69" spans="1:13" ht="60" x14ac:dyDescent="0.25">
      <c r="A69" s="15">
        <v>37.25</v>
      </c>
      <c r="B69" s="11" t="s">
        <v>222</v>
      </c>
      <c r="C69" s="18" t="s">
        <v>23</v>
      </c>
      <c r="D69" s="11" t="s">
        <v>223</v>
      </c>
      <c r="E69" s="11" t="s">
        <v>34</v>
      </c>
      <c r="F69" s="12" t="s">
        <v>207</v>
      </c>
      <c r="G69" s="13">
        <f>Table3[[#This Row],[Estimated Requested Funding Total (dollars)]]/(1-(Table3[[#This Row],[Cost share ]]))</f>
        <v>800000</v>
      </c>
      <c r="H69" s="14">
        <v>0.5</v>
      </c>
      <c r="I69" s="13">
        <f>Table3[[#This Row],[Year 1 Funding]]+Table3[[#This Row],[Year 2 Funding]]+Table3[[#This Row],[Year 3 Funding]]</f>
        <v>400000</v>
      </c>
      <c r="J69" s="15">
        <v>3</v>
      </c>
      <c r="K69" s="13">
        <v>125000</v>
      </c>
      <c r="L69" s="13">
        <v>225000</v>
      </c>
      <c r="M69" s="13">
        <v>50000</v>
      </c>
    </row>
    <row r="70" spans="1:13" ht="90" x14ac:dyDescent="0.25">
      <c r="A70" s="15">
        <v>37.25</v>
      </c>
      <c r="B70" s="11" t="s">
        <v>84</v>
      </c>
      <c r="C70" s="18" t="s">
        <v>23</v>
      </c>
      <c r="D70" s="11" t="s">
        <v>224</v>
      </c>
      <c r="E70" s="11" t="s">
        <v>225</v>
      </c>
      <c r="F70" s="12" t="s">
        <v>226</v>
      </c>
      <c r="G70" s="13">
        <f>Table3[[#This Row],[Estimated Requested Funding Total (dollars)]]/(1-(Table3[[#This Row],[Cost share ]]))</f>
        <v>700000</v>
      </c>
      <c r="H70" s="16">
        <v>0.5</v>
      </c>
      <c r="I70" s="13">
        <f>Table3[[#This Row],[Year 1 Funding]]+Table3[[#This Row],[Year 2 Funding]]+Table3[[#This Row],[Year 3 Funding]]</f>
        <v>350000</v>
      </c>
      <c r="J70" s="15">
        <v>1</v>
      </c>
      <c r="K70" s="17">
        <v>350000</v>
      </c>
      <c r="L70" s="17"/>
      <c r="M70" s="17"/>
    </row>
    <row r="71" spans="1:13" ht="60" x14ac:dyDescent="0.25">
      <c r="A71" s="15">
        <v>36.75</v>
      </c>
      <c r="B71" s="11" t="s">
        <v>227</v>
      </c>
      <c r="C71" s="18" t="s">
        <v>31</v>
      </c>
      <c r="D71" s="11" t="s">
        <v>228</v>
      </c>
      <c r="E71" s="11" t="s">
        <v>186</v>
      </c>
      <c r="F71" s="12" t="s">
        <v>341</v>
      </c>
      <c r="G71" s="13">
        <f>Table3[[#This Row],[Estimated Requested Funding Total (dollars)]]/(1-(Table3[[#This Row],[Cost share ]]))</f>
        <v>10000000</v>
      </c>
      <c r="H71" s="16">
        <v>0.5</v>
      </c>
      <c r="I71" s="13">
        <f>Table3[[#This Row],[Year 1 Funding]]+Table3[[#This Row],[Year 2 Funding]]+Table3[[#This Row],[Year 3 Funding]]</f>
        <v>5000000</v>
      </c>
      <c r="J71" s="15">
        <v>3</v>
      </c>
      <c r="K71" s="17">
        <v>225000</v>
      </c>
      <c r="L71" s="17">
        <v>2525000</v>
      </c>
      <c r="M71" s="17">
        <v>2250000</v>
      </c>
    </row>
    <row r="72" spans="1:13" ht="75" x14ac:dyDescent="0.25">
      <c r="A72" s="15">
        <v>36.5</v>
      </c>
      <c r="B72" s="11" t="s">
        <v>84</v>
      </c>
      <c r="C72" s="18" t="s">
        <v>23</v>
      </c>
      <c r="D72" s="11" t="s">
        <v>229</v>
      </c>
      <c r="E72" s="11" t="s">
        <v>17</v>
      </c>
      <c r="F72" s="12" t="s">
        <v>230</v>
      </c>
      <c r="G72" s="13">
        <f>Table3[[#This Row],[Estimated Requested Funding Total (dollars)]]/(1-(Table3[[#This Row],[Cost share ]]))</f>
        <v>650000</v>
      </c>
      <c r="H72" s="16">
        <v>0.5</v>
      </c>
      <c r="I72" s="13">
        <f>Table3[[#This Row],[Year 1 Funding]]+Table3[[#This Row],[Year 2 Funding]]+Table3[[#This Row],[Year 3 Funding]]</f>
        <v>325000</v>
      </c>
      <c r="J72" s="15">
        <v>1</v>
      </c>
      <c r="K72" s="17">
        <v>325000</v>
      </c>
      <c r="L72" s="17"/>
      <c r="M72" s="17"/>
    </row>
    <row r="73" spans="1:13" ht="45" x14ac:dyDescent="0.25">
      <c r="A73" s="15">
        <v>36.35</v>
      </c>
      <c r="B73" s="11" t="s">
        <v>180</v>
      </c>
      <c r="C73" s="18" t="s">
        <v>53</v>
      </c>
      <c r="D73" s="11" t="s">
        <v>53</v>
      </c>
      <c r="E73" s="11" t="s">
        <v>231</v>
      </c>
      <c r="F73" s="12" t="s">
        <v>342</v>
      </c>
      <c r="G73" s="13">
        <f>Table3[[#This Row],[Estimated Requested Funding Total (dollars)]]/(1-(Table3[[#This Row],[Cost share ]]))</f>
        <v>3750000</v>
      </c>
      <c r="H73" s="16">
        <v>0.5</v>
      </c>
      <c r="I73" s="13">
        <f>Table3[[#This Row],[Year 1 Funding]]+Table3[[#This Row],[Year 2 Funding]]+Table3[[#This Row],[Year 3 Funding]]</f>
        <v>1875000</v>
      </c>
      <c r="J73" s="15">
        <v>1</v>
      </c>
      <c r="K73" s="17">
        <v>1000000</v>
      </c>
      <c r="L73" s="17">
        <v>875000</v>
      </c>
      <c r="M73" s="17"/>
    </row>
    <row r="74" spans="1:13" ht="75" x14ac:dyDescent="0.25">
      <c r="A74" s="15">
        <v>36</v>
      </c>
      <c r="B74" s="11" t="s">
        <v>232</v>
      </c>
      <c r="C74" s="18" t="s">
        <v>60</v>
      </c>
      <c r="D74" s="11" t="s">
        <v>233</v>
      </c>
      <c r="E74" s="11" t="s">
        <v>195</v>
      </c>
      <c r="F74" s="12" t="s">
        <v>304</v>
      </c>
      <c r="G74" s="13">
        <f>Table3[[#This Row],[Estimated Requested Funding Total (dollars)]]/(1-(Table3[[#This Row],[Cost share ]]))</f>
        <v>10165236.686390534</v>
      </c>
      <c r="H74" s="16">
        <v>0.66200000000000003</v>
      </c>
      <c r="I74" s="13">
        <f>Table3[[#This Row],[Year 1 Funding]]+Table3[[#This Row],[Year 2 Funding]]+Table3[[#This Row],[Year 3 Funding]]</f>
        <v>3435850</v>
      </c>
      <c r="J74" s="15">
        <v>3</v>
      </c>
      <c r="K74" s="17">
        <v>891050</v>
      </c>
      <c r="L74" s="17">
        <v>2544800</v>
      </c>
      <c r="M74" s="17"/>
    </row>
    <row r="75" spans="1:13" ht="60" x14ac:dyDescent="0.25">
      <c r="A75" s="15">
        <v>35.260000000000005</v>
      </c>
      <c r="B75" s="11" t="s">
        <v>227</v>
      </c>
      <c r="C75" s="18" t="s">
        <v>31</v>
      </c>
      <c r="D75" s="11" t="s">
        <v>234</v>
      </c>
      <c r="E75" s="11" t="s">
        <v>186</v>
      </c>
      <c r="F75" s="12" t="s">
        <v>235</v>
      </c>
      <c r="G75" s="13">
        <f>Table3[[#This Row],[Estimated Requested Funding Total (dollars)]]/(1-(Table3[[#This Row],[Cost share ]]))</f>
        <v>8928571.4285714272</v>
      </c>
      <c r="H75" s="16">
        <v>0.72</v>
      </c>
      <c r="I75" s="13">
        <f>Table3[[#This Row],[Year 1 Funding]]+Table3[[#This Row],[Year 2 Funding]]+Table3[[#This Row],[Year 3 Funding]]</f>
        <v>2500000</v>
      </c>
      <c r="J75" s="15">
        <v>2</v>
      </c>
      <c r="K75" s="17">
        <v>300000</v>
      </c>
      <c r="L75" s="17">
        <v>2200000</v>
      </c>
      <c r="M75" s="17"/>
    </row>
    <row r="76" spans="1:13" ht="30" x14ac:dyDescent="0.25">
      <c r="A76" s="15">
        <v>35.25</v>
      </c>
      <c r="B76" s="11" t="s">
        <v>236</v>
      </c>
      <c r="C76" s="18" t="s">
        <v>237</v>
      </c>
      <c r="D76" s="11" t="s">
        <v>238</v>
      </c>
      <c r="E76" s="11" t="s">
        <v>239</v>
      </c>
      <c r="F76" s="12" t="s">
        <v>343</v>
      </c>
      <c r="G76" s="13">
        <f>Table3[[#This Row],[Estimated Requested Funding Total (dollars)]]/(1-(Table3[[#This Row],[Cost share ]]))</f>
        <v>1199633.2</v>
      </c>
      <c r="H76" s="16">
        <v>0.5</v>
      </c>
      <c r="I76" s="13">
        <f>Table3[[#This Row],[Year 1 Funding]]+Table3[[#This Row],[Year 2 Funding]]+Table3[[#This Row],[Year 3 Funding]]</f>
        <v>599816.6</v>
      </c>
      <c r="J76" s="15">
        <v>1</v>
      </c>
      <c r="K76" s="17">
        <v>599816.6</v>
      </c>
      <c r="L76" s="17"/>
      <c r="M76" s="17"/>
    </row>
    <row r="77" spans="1:13" ht="60" x14ac:dyDescent="0.25">
      <c r="A77" s="15">
        <v>34.85</v>
      </c>
      <c r="B77" s="11" t="s">
        <v>240</v>
      </c>
      <c r="C77" s="18" t="s">
        <v>189</v>
      </c>
      <c r="D77" s="11" t="s">
        <v>241</v>
      </c>
      <c r="E77" s="11" t="s">
        <v>242</v>
      </c>
      <c r="F77" s="12" t="s">
        <v>243</v>
      </c>
      <c r="G77" s="13">
        <f>Table3[[#This Row],[Estimated Requested Funding Total (dollars)]]/(1-(Table3[[#This Row],[Cost share ]]))</f>
        <v>3982000</v>
      </c>
      <c r="H77" s="16">
        <v>0.5</v>
      </c>
      <c r="I77" s="13">
        <f>Table3[[#This Row],[Year 1 Funding]]+Table3[[#This Row],[Year 2 Funding]]+Table3[[#This Row],[Year 3 Funding]]</f>
        <v>1991000</v>
      </c>
      <c r="J77" s="15">
        <v>2</v>
      </c>
      <c r="K77" s="17"/>
      <c r="L77" s="17">
        <v>1991000</v>
      </c>
      <c r="M77" s="37"/>
    </row>
    <row r="78" spans="1:13" ht="90" x14ac:dyDescent="0.25">
      <c r="A78" s="15">
        <v>34.5</v>
      </c>
      <c r="B78" s="11" t="s">
        <v>244</v>
      </c>
      <c r="C78" s="18" t="s">
        <v>91</v>
      </c>
      <c r="D78" s="11" t="s">
        <v>245</v>
      </c>
      <c r="E78" s="11" t="s">
        <v>246</v>
      </c>
      <c r="F78" s="12" t="s">
        <v>247</v>
      </c>
      <c r="G78" s="13">
        <f>Table3[[#This Row],[Estimated Requested Funding Total (dollars)]]/(1-(Table3[[#This Row],[Cost share ]]))</f>
        <v>932400</v>
      </c>
      <c r="H78" s="16">
        <v>0.5</v>
      </c>
      <c r="I78" s="13">
        <f>Table3[[#This Row],[Year 1 Funding]]+Table3[[#This Row],[Year 2 Funding]]+Table3[[#This Row],[Year 3 Funding]]</f>
        <v>466200</v>
      </c>
      <c r="J78" s="15">
        <v>2</v>
      </c>
      <c r="K78" s="17">
        <v>466200</v>
      </c>
      <c r="L78" s="37"/>
      <c r="M78" s="37"/>
    </row>
    <row r="79" spans="1:13" ht="75" x14ac:dyDescent="0.25">
      <c r="A79" s="15">
        <v>34.25</v>
      </c>
      <c r="B79" s="11" t="s">
        <v>249</v>
      </c>
      <c r="C79" s="18" t="s">
        <v>37</v>
      </c>
      <c r="D79" s="11" t="s">
        <v>250</v>
      </c>
      <c r="E79" s="11" t="s">
        <v>249</v>
      </c>
      <c r="F79" s="12" t="s">
        <v>251</v>
      </c>
      <c r="G79" s="13">
        <f>Table3[[#This Row],[Estimated Requested Funding Total (dollars)]]/(1-(Table3[[#This Row],[Cost share ]]))</f>
        <v>2500000</v>
      </c>
      <c r="H79" s="16">
        <v>0.5</v>
      </c>
      <c r="I79" s="13">
        <f>Table3[[#This Row],[Year 1 Funding]]+Table3[[#This Row],[Year 2 Funding]]+Table3[[#This Row],[Year 3 Funding]]</f>
        <v>1250000</v>
      </c>
      <c r="J79" s="15">
        <v>2</v>
      </c>
      <c r="K79" s="17">
        <v>120000</v>
      </c>
      <c r="L79" s="17">
        <v>1130000</v>
      </c>
      <c r="M79" s="37"/>
    </row>
    <row r="80" spans="1:13" ht="60" x14ac:dyDescent="0.25">
      <c r="A80" s="15">
        <v>33.75</v>
      </c>
      <c r="B80" s="11" t="s">
        <v>187</v>
      </c>
      <c r="C80" s="18" t="s">
        <v>153</v>
      </c>
      <c r="D80" s="11" t="s">
        <v>252</v>
      </c>
      <c r="E80" s="11" t="s">
        <v>253</v>
      </c>
      <c r="F80" s="12" t="s">
        <v>299</v>
      </c>
      <c r="G80" s="13">
        <f>Table3[[#This Row],[Estimated Requested Funding Total (dollars)]]/(1-(Table3[[#This Row],[Cost share ]]))</f>
        <v>200000</v>
      </c>
      <c r="H80" s="16">
        <v>0.5</v>
      </c>
      <c r="I80" s="13">
        <f>Table3[[#This Row],[Year 1 Funding]]+Table3[[#This Row],[Year 2 Funding]]+Table3[[#This Row],[Year 3 Funding]]</f>
        <v>100000</v>
      </c>
      <c r="J80" s="15">
        <v>3</v>
      </c>
      <c r="K80" s="17">
        <v>100000</v>
      </c>
      <c r="L80" s="37"/>
      <c r="M80" s="37"/>
    </row>
    <row r="81" spans="1:13" ht="60" x14ac:dyDescent="0.25">
      <c r="A81" s="15">
        <v>33.75</v>
      </c>
      <c r="B81" s="11" t="s">
        <v>254</v>
      </c>
      <c r="C81" s="18" t="s">
        <v>31</v>
      </c>
      <c r="D81" s="11" t="s">
        <v>255</v>
      </c>
      <c r="E81" s="11" t="s">
        <v>256</v>
      </c>
      <c r="F81" s="12" t="s">
        <v>257</v>
      </c>
      <c r="G81" s="13">
        <f>Table3[[#This Row],[Estimated Requested Funding Total (dollars)]]/(1-(Table3[[#This Row],[Cost share ]]))</f>
        <v>750000</v>
      </c>
      <c r="H81" s="16">
        <v>0.5</v>
      </c>
      <c r="I81" s="13">
        <f>Table3[[#This Row],[Year 1 Funding]]+Table3[[#This Row],[Year 2 Funding]]+Table3[[#This Row],[Year 3 Funding]]</f>
        <v>375000</v>
      </c>
      <c r="J81" s="15">
        <v>1</v>
      </c>
      <c r="K81" s="17">
        <v>375000</v>
      </c>
      <c r="L81" s="37"/>
      <c r="M81" s="37"/>
    </row>
    <row r="82" spans="1:13" ht="135" x14ac:dyDescent="0.25">
      <c r="A82" s="15">
        <v>33.659999999999997</v>
      </c>
      <c r="B82" s="11" t="s">
        <v>133</v>
      </c>
      <c r="C82" s="18" t="s">
        <v>31</v>
      </c>
      <c r="D82" s="11" t="s">
        <v>258</v>
      </c>
      <c r="E82" s="11" t="s">
        <v>135</v>
      </c>
      <c r="F82" s="12" t="s">
        <v>259</v>
      </c>
      <c r="G82" s="13">
        <f>Table3[[#This Row],[Estimated Requested Funding Total (dollars)]]/(1-(Table3[[#This Row],[Cost share ]]))</f>
        <v>3000000</v>
      </c>
      <c r="H82" s="16">
        <v>0.5</v>
      </c>
      <c r="I82" s="13">
        <f>Table3[[#This Row],[Year 1 Funding]]+Table3[[#This Row],[Year 2 Funding]]+Table3[[#This Row],[Year 3 Funding]]</f>
        <v>1500000</v>
      </c>
      <c r="J82" s="15">
        <v>2</v>
      </c>
      <c r="K82" s="17">
        <v>183000</v>
      </c>
      <c r="L82" s="17">
        <v>1317000</v>
      </c>
      <c r="M82" s="37"/>
    </row>
    <row r="83" spans="1:13" ht="75" x14ac:dyDescent="0.25">
      <c r="A83" s="15">
        <v>33.35</v>
      </c>
      <c r="B83" s="11" t="s">
        <v>84</v>
      </c>
      <c r="C83" s="18" t="s">
        <v>23</v>
      </c>
      <c r="D83" s="11" t="s">
        <v>260</v>
      </c>
      <c r="E83" s="11" t="s">
        <v>194</v>
      </c>
      <c r="F83" s="12" t="s">
        <v>261</v>
      </c>
      <c r="G83" s="13">
        <f>Table3[[#This Row],[Estimated Requested Funding Total (dollars)]]/(1-(Table3[[#This Row],[Cost share ]]))</f>
        <v>14000000</v>
      </c>
      <c r="H83" s="16">
        <v>0.5</v>
      </c>
      <c r="I83" s="13">
        <f>Table3[[#This Row],[Year 1 Funding]]+Table3[[#This Row],[Year 2 Funding]]+Table3[[#This Row],[Year 3 Funding]]</f>
        <v>7000000</v>
      </c>
      <c r="J83" s="15">
        <v>3</v>
      </c>
      <c r="K83" s="17">
        <v>500000</v>
      </c>
      <c r="L83" s="17">
        <v>3250000</v>
      </c>
      <c r="M83" s="17">
        <v>3250000</v>
      </c>
    </row>
    <row r="84" spans="1:13" ht="75" x14ac:dyDescent="0.25">
      <c r="A84" s="15">
        <v>32.85</v>
      </c>
      <c r="B84" s="11" t="s">
        <v>262</v>
      </c>
      <c r="C84" s="18" t="s">
        <v>91</v>
      </c>
      <c r="D84" s="11" t="s">
        <v>263</v>
      </c>
      <c r="E84" s="11" t="s">
        <v>54</v>
      </c>
      <c r="F84" s="12" t="s">
        <v>300</v>
      </c>
      <c r="G84" s="13">
        <f>Table3[[#This Row],[Estimated Requested Funding Total (dollars)]]/(1-(Table3[[#This Row],[Cost share ]]))</f>
        <v>9810566.6666666586</v>
      </c>
      <c r="H84" s="16">
        <v>0.97</v>
      </c>
      <c r="I84" s="13">
        <f>Table3[[#This Row],[Year 1 Funding]]+Table3[[#This Row],[Year 2 Funding]]+Table3[[#This Row],[Year 3 Funding]]</f>
        <v>294317</v>
      </c>
      <c r="J84" s="15">
        <v>3</v>
      </c>
      <c r="K84" s="17">
        <v>33418</v>
      </c>
      <c r="L84" s="17">
        <v>260899</v>
      </c>
      <c r="M84" s="37"/>
    </row>
    <row r="85" spans="1:13" ht="45" x14ac:dyDescent="0.25">
      <c r="A85" s="15">
        <v>32.5</v>
      </c>
      <c r="B85" s="11" t="s">
        <v>267</v>
      </c>
      <c r="C85" s="18" t="s">
        <v>268</v>
      </c>
      <c r="D85" s="11" t="s">
        <v>269</v>
      </c>
      <c r="E85" s="11" t="s">
        <v>270</v>
      </c>
      <c r="F85" s="12" t="s">
        <v>271</v>
      </c>
      <c r="G85" s="13">
        <f>Table3[[#This Row],[Estimated Requested Funding Total (dollars)]]/(1-(Table3[[#This Row],[Cost share ]]))</f>
        <v>500000</v>
      </c>
      <c r="H85" s="16">
        <v>0.5</v>
      </c>
      <c r="I85" s="13">
        <f>Table3[[#This Row],[Year 1 Funding]]+Table3[[#This Row],[Year 2 Funding]]+Table3[[#This Row],[Year 3 Funding]]</f>
        <v>250000</v>
      </c>
      <c r="J85" s="15">
        <v>3</v>
      </c>
      <c r="K85" s="17">
        <v>250000</v>
      </c>
      <c r="L85" s="37"/>
      <c r="M85" s="37"/>
    </row>
    <row r="86" spans="1:13" ht="45" x14ac:dyDescent="0.25">
      <c r="A86" s="15">
        <v>32.5</v>
      </c>
      <c r="B86" s="11" t="s">
        <v>264</v>
      </c>
      <c r="C86" s="18" t="s">
        <v>157</v>
      </c>
      <c r="D86" s="11" t="s">
        <v>265</v>
      </c>
      <c r="E86" s="11" t="s">
        <v>248</v>
      </c>
      <c r="F86" s="12" t="s">
        <v>266</v>
      </c>
      <c r="G86" s="13">
        <f>Table3[[#This Row],[Estimated Requested Funding Total (dollars)]]/(1-(Table3[[#This Row],[Cost share ]]))</f>
        <v>1000000</v>
      </c>
      <c r="H86" s="16">
        <v>0.5</v>
      </c>
      <c r="I86" s="13">
        <f>Table3[[#This Row],[Year 1 Funding]]+Table3[[#This Row],[Year 2 Funding]]+Table3[[#This Row],[Year 3 Funding]]</f>
        <v>500000</v>
      </c>
      <c r="J86" s="15">
        <v>3</v>
      </c>
      <c r="K86" s="17">
        <v>500000</v>
      </c>
      <c r="L86" s="37"/>
      <c r="M86" s="37"/>
    </row>
    <row r="87" spans="1:13" ht="60" x14ac:dyDescent="0.25">
      <c r="A87" s="15">
        <v>32.25</v>
      </c>
      <c r="B87" s="11" t="s">
        <v>84</v>
      </c>
      <c r="C87" s="18" t="s">
        <v>23</v>
      </c>
      <c r="D87" s="11" t="s">
        <v>272</v>
      </c>
      <c r="E87" s="11" t="s">
        <v>273</v>
      </c>
      <c r="F87" s="12" t="s">
        <v>274</v>
      </c>
      <c r="G87" s="13">
        <f>Table3[[#This Row],[Estimated Requested Funding Total (dollars)]]/(1-(Table3[[#This Row],[Cost share ]]))</f>
        <v>600000</v>
      </c>
      <c r="H87" s="16" t="s">
        <v>59</v>
      </c>
      <c r="I87" s="13">
        <f>Table3[[#This Row],[Year 1 Funding]]+Table3[[#This Row],[Year 2 Funding]]+Table3[[#This Row],[Year 3 Funding]]</f>
        <v>300000</v>
      </c>
      <c r="J87" s="15">
        <v>2</v>
      </c>
      <c r="K87" s="17">
        <v>300000</v>
      </c>
      <c r="L87" s="37"/>
      <c r="M87" s="37"/>
    </row>
    <row r="88" spans="1:13" ht="60" x14ac:dyDescent="0.25">
      <c r="A88" s="15">
        <v>31.25</v>
      </c>
      <c r="B88" s="11" t="s">
        <v>98</v>
      </c>
      <c r="C88" s="18" t="s">
        <v>23</v>
      </c>
      <c r="D88" s="11" t="s">
        <v>280</v>
      </c>
      <c r="E88" s="11" t="s">
        <v>25</v>
      </c>
      <c r="F88" s="12" t="s">
        <v>301</v>
      </c>
      <c r="G88" s="13">
        <f>Table3[[#This Row],[Estimated Requested Funding Total (dollars)]]/(1-(Table3[[#This Row],[Cost share ]]))</f>
        <v>800000</v>
      </c>
      <c r="H88" s="16">
        <v>0.5</v>
      </c>
      <c r="I88" s="13">
        <f>Table3[[#This Row],[Year 1 Funding]]+Table3[[#This Row],[Year 2 Funding]]+Table3[[#This Row],[Year 3 Funding]]</f>
        <v>400000</v>
      </c>
      <c r="J88" s="15">
        <v>2</v>
      </c>
      <c r="K88" s="17">
        <v>56800</v>
      </c>
      <c r="L88" s="17">
        <v>343200</v>
      </c>
      <c r="M88" s="37"/>
    </row>
    <row r="89" spans="1:13" ht="45" x14ac:dyDescent="0.25">
      <c r="A89" s="15">
        <v>31.25</v>
      </c>
      <c r="B89" s="11" t="s">
        <v>275</v>
      </c>
      <c r="C89" s="18" t="s">
        <v>276</v>
      </c>
      <c r="D89" s="11" t="s">
        <v>277</v>
      </c>
      <c r="E89" s="11" t="s">
        <v>278</v>
      </c>
      <c r="F89" s="12" t="s">
        <v>279</v>
      </c>
      <c r="G89" s="13">
        <f>Table3[[#This Row],[Estimated Requested Funding Total (dollars)]]/(1-(Table3[[#This Row],[Cost share ]]))</f>
        <v>1600000</v>
      </c>
      <c r="H89" s="16">
        <v>0.5</v>
      </c>
      <c r="I89" s="13">
        <f>Table3[[#This Row],[Year 1 Funding]]+Table3[[#This Row],[Year 2 Funding]]+Table3[[#This Row],[Year 3 Funding]]</f>
        <v>800000</v>
      </c>
      <c r="J89" s="15">
        <v>3</v>
      </c>
      <c r="K89" s="17">
        <v>80000</v>
      </c>
      <c r="L89" s="17">
        <v>360000</v>
      </c>
      <c r="M89" s="17">
        <v>360000</v>
      </c>
    </row>
    <row r="90" spans="1:13" ht="30" x14ac:dyDescent="0.25">
      <c r="A90" s="15">
        <v>30.75</v>
      </c>
      <c r="B90" s="11" t="s">
        <v>281</v>
      </c>
      <c r="C90" s="18" t="s">
        <v>53</v>
      </c>
      <c r="D90" s="11" t="s">
        <v>282</v>
      </c>
      <c r="E90" s="11" t="s">
        <v>283</v>
      </c>
      <c r="F90" s="12" t="s">
        <v>284</v>
      </c>
      <c r="G90" s="13">
        <f>Table3[[#This Row],[Estimated Requested Funding Total (dollars)]]/(1-(Table3[[#This Row],[Cost share ]]))</f>
        <v>2100000</v>
      </c>
      <c r="H90" s="16">
        <v>0.5</v>
      </c>
      <c r="I90" s="13">
        <f>Table3[[#This Row],[Year 1 Funding]]+Table3[[#This Row],[Year 2 Funding]]+Table3[[#This Row],[Year 3 Funding]]</f>
        <v>1050000</v>
      </c>
      <c r="J90" s="15">
        <v>2</v>
      </c>
      <c r="K90" s="17">
        <v>297500</v>
      </c>
      <c r="L90" s="17">
        <v>752500</v>
      </c>
      <c r="M90" s="37"/>
    </row>
    <row r="91" spans="1:13" ht="45" x14ac:dyDescent="0.25">
      <c r="A91" s="15">
        <v>30.75</v>
      </c>
      <c r="B91" s="11" t="s">
        <v>87</v>
      </c>
      <c r="C91" s="18" t="s">
        <v>23</v>
      </c>
      <c r="D91" s="11" t="s">
        <v>285</v>
      </c>
      <c r="E91" s="11" t="s">
        <v>89</v>
      </c>
      <c r="F91" s="12" t="s">
        <v>286</v>
      </c>
      <c r="G91" s="13">
        <f>Table3[[#This Row],[Estimated Requested Funding Total (dollars)]]/(1-(Table3[[#This Row],[Cost share ]]))</f>
        <v>17111976</v>
      </c>
      <c r="H91" s="16">
        <v>0.5</v>
      </c>
      <c r="I91" s="13">
        <f>Table3[[#This Row],[Year 1 Funding]]+Table3[[#This Row],[Year 2 Funding]]+Table3[[#This Row],[Year 3 Funding]]</f>
        <v>8555988</v>
      </c>
      <c r="J91" s="15">
        <v>3</v>
      </c>
      <c r="K91" s="17">
        <v>1681863</v>
      </c>
      <c r="L91" s="17">
        <v>6874125</v>
      </c>
      <c r="M91" s="37"/>
    </row>
    <row r="92" spans="1:13" ht="135" x14ac:dyDescent="0.25">
      <c r="A92" s="15">
        <v>30.66</v>
      </c>
      <c r="B92" s="11" t="s">
        <v>287</v>
      </c>
      <c r="C92" s="18" t="s">
        <v>53</v>
      </c>
      <c r="D92" s="11" t="s">
        <v>288</v>
      </c>
      <c r="E92" s="11" t="s">
        <v>182</v>
      </c>
      <c r="F92" s="12" t="s">
        <v>289</v>
      </c>
      <c r="G92" s="13">
        <f>Table3[[#This Row],[Estimated Requested Funding Total (dollars)]]/(1-(Table3[[#This Row],[Cost share ]]))</f>
        <v>31063067.44186046</v>
      </c>
      <c r="H92" s="16">
        <v>0.56999999999999995</v>
      </c>
      <c r="I92" s="13">
        <f>Table3[[#This Row],[Year 1 Funding]]+Table3[[#This Row],[Year 2 Funding]]+Table3[[#This Row],[Year 3 Funding]]</f>
        <v>13357119</v>
      </c>
      <c r="J92" s="15">
        <v>3</v>
      </c>
      <c r="K92" s="19">
        <v>750000</v>
      </c>
      <c r="L92" s="19"/>
      <c r="M92" s="19">
        <v>12607119</v>
      </c>
    </row>
    <row r="93" spans="1:13" ht="64.5" customHeight="1" x14ac:dyDescent="0.25">
      <c r="A93" s="20"/>
      <c r="B93" s="21"/>
      <c r="C93" s="22"/>
      <c r="D93" s="21"/>
      <c r="E93" s="21"/>
      <c r="F93" s="21" t="s">
        <v>305</v>
      </c>
      <c r="G93" s="23">
        <f>SUBTOTAL(109,G2:G92)</f>
        <v>594132551.03587162</v>
      </c>
      <c r="H93" s="32" t="s">
        <v>308</v>
      </c>
      <c r="I93" s="23">
        <f>SUBTOTAL(109,I2:I92)</f>
        <v>291860466.92999995</v>
      </c>
      <c r="J93" s="24"/>
      <c r="K93" s="25">
        <v>99981392</v>
      </c>
      <c r="L93" s="25">
        <f>SUBTOTAL(109,L2:L92)</f>
        <v>127210871.34999999</v>
      </c>
      <c r="M93" s="25">
        <f>SUBTOTAL(109,M2:M92)</f>
        <v>64668203.640000001</v>
      </c>
    </row>
    <row r="94" spans="1:13" x14ac:dyDescent="0.25">
      <c r="F94" s="5"/>
      <c r="G94" s="6"/>
      <c r="H94" s="33"/>
      <c r="I94" s="30"/>
      <c r="J94" s="7"/>
      <c r="K94" s="8"/>
      <c r="L94" s="8"/>
      <c r="M94" s="8"/>
    </row>
  </sheetData>
  <sheetProtection algorithmName="SHA-512" hashValue="VK+kngQxBHPA34ulnUo0BIOulZUWEt4KbU1T5InC+Abf0Pr1LFssMyfvCpbtsoOR3tiQUtyuBiOnRvZv9imxdQ==" saltValue="L0YJuRmRlH3hbE/EcITmWQ==" spinCount="100000" sheet="1" objects="1" scenarios="1"/>
  <sortState xmlns:xlrd2="http://schemas.microsoft.com/office/spreadsheetml/2017/richdata2" ref="A2:M93">
    <sortCondition descending="1" ref="A2:A93"/>
  </sortState>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D3DEE3B-D347-4133-A925-E2AE9CCEF89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Bouza, Eddy</dc:creator>
  <cp:keywords/>
  <dc:description/>
  <cp:lastModifiedBy>Altenburg, Grace</cp:lastModifiedBy>
  <cp:revision/>
  <dcterms:created xsi:type="dcterms:W3CDTF">2021-10-28T19:10:47Z</dcterms:created>
  <dcterms:modified xsi:type="dcterms:W3CDTF">2021-11-30T16:46:58Z</dcterms:modified>
  <cp:category/>
  <cp:contentStatus/>
</cp:coreProperties>
</file>